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1\2DO TRIMESTRE\"/>
    </mc:Choice>
  </mc:AlternateContent>
  <xr:revisionPtr revIDLastSave="0" documentId="13_ncr:1_{A25AF40C-B2F9-476B-8F42-B7E76DE2042A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IAODF'!$A$1:$M$24</definedName>
    <definedName name="_xlnm.Print_Area" localSheetId="3">'F4. BALPRESUP'!$D$3:$G$63</definedName>
    <definedName name="_xlnm.Print_Area" localSheetId="4">'F5. EAID'!$B$1:$H$73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4" l="1"/>
  <c r="F33" i="4"/>
  <c r="F34" i="4"/>
  <c r="F35" i="4"/>
  <c r="F36" i="4"/>
  <c r="F37" i="4"/>
  <c r="F38" i="4"/>
  <c r="F12" i="4"/>
  <c r="E62" i="3"/>
  <c r="E61" i="3"/>
  <c r="H16" i="3"/>
  <c r="F101" i="4"/>
  <c r="F28" i="4"/>
  <c r="F24" i="4"/>
  <c r="D11" i="4"/>
  <c r="F70" i="3"/>
  <c r="E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68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99" i="4"/>
  <c r="F98" i="4"/>
  <c r="F88" i="4"/>
  <c r="F31" i="4"/>
  <c r="E64" i="3"/>
  <c r="F64" i="3"/>
  <c r="G64" i="3"/>
  <c r="D64" i="3"/>
  <c r="L77" i="1" l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F104" i="4"/>
  <c r="I104" i="4" s="1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F30" i="4"/>
  <c r="I30" i="4" s="1"/>
  <c r="I21" i="4"/>
  <c r="F22" i="4"/>
  <c r="I22" i="4" s="1"/>
  <c r="F23" i="4"/>
  <c r="I23" i="4" s="1"/>
  <c r="I24" i="4"/>
  <c r="F25" i="4"/>
  <c r="I25" i="4" s="1"/>
  <c r="F26" i="4"/>
  <c r="I26" i="4" s="1"/>
  <c r="F27" i="4"/>
  <c r="I27" i="4" s="1"/>
  <c r="I28" i="4"/>
  <c r="I20" i="4"/>
  <c r="F13" i="4"/>
  <c r="I13" i="4" s="1"/>
  <c r="I14" i="4"/>
  <c r="I15" i="4"/>
  <c r="I16" i="4"/>
  <c r="F17" i="4"/>
  <c r="I17" i="4" s="1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K17" i="6"/>
  <c r="E17" i="6" s="1"/>
  <c r="H17" i="6" s="1"/>
  <c r="K14" i="6"/>
  <c r="E14" i="6" s="1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H14" i="3" s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H35" i="3" s="1"/>
  <c r="E36" i="3"/>
  <c r="E37" i="3"/>
  <c r="E38" i="3"/>
  <c r="E39" i="3"/>
  <c r="E40" i="3"/>
  <c r="E10" i="3"/>
  <c r="F63" i="3"/>
  <c r="G63" i="3"/>
  <c r="C63" i="3"/>
  <c r="D41" i="3"/>
  <c r="D66" i="3" s="1"/>
  <c r="F41" i="3"/>
  <c r="G41" i="3"/>
  <c r="C41" i="3"/>
  <c r="G43" i="6" l="1"/>
  <c r="G44" i="6"/>
  <c r="C23" i="8"/>
  <c r="C22" i="8" s="1"/>
  <c r="C10" i="6"/>
  <c r="H12" i="6"/>
  <c r="H10" i="6" s="1"/>
  <c r="E10" i="6"/>
  <c r="C66" i="3"/>
  <c r="C77" i="3" s="1"/>
  <c r="J65" i="3"/>
  <c r="D77" i="3"/>
  <c r="E63" i="3"/>
  <c r="H63" i="3" s="1"/>
  <c r="H61" i="3"/>
  <c r="E41" i="3"/>
  <c r="H41" i="3" s="1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s="1"/>
  <c r="H66" i="3" l="1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0" i="4" l="1"/>
  <c r="D26" i="7" s="1"/>
  <c r="D21" i="7" s="1"/>
  <c r="D11" i="7" s="1"/>
  <c r="E83" i="4"/>
  <c r="E59" i="7" s="1"/>
  <c r="I83" i="4"/>
  <c r="F83" i="4"/>
  <c r="F59" i="7" s="1"/>
  <c r="H83" i="4"/>
  <c r="H59" i="7" s="1"/>
  <c r="G83" i="4"/>
  <c r="G59" i="7" s="1"/>
  <c r="G54" i="7" s="1"/>
  <c r="G44" i="7" s="1"/>
  <c r="H10" i="4"/>
  <c r="E10" i="4"/>
  <c r="E26" i="7" s="1"/>
  <c r="E21" i="7" s="1"/>
  <c r="I10" i="4"/>
  <c r="D83" i="4"/>
  <c r="G10" i="4"/>
  <c r="G26" i="7" s="1"/>
  <c r="G21" i="7" s="1"/>
  <c r="G11" i="7" s="1"/>
  <c r="F10" i="4"/>
  <c r="F26" i="7" s="1"/>
  <c r="F21" i="7" s="1"/>
  <c r="G53" i="5"/>
  <c r="F53" i="5"/>
  <c r="E53" i="5"/>
  <c r="G51" i="5"/>
  <c r="G13" i="5" s="1"/>
  <c r="F51" i="5"/>
  <c r="F13" i="5" s="1"/>
  <c r="E51" i="5"/>
  <c r="E13" i="5" s="1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D21" i="2"/>
  <c r="F62" i="1"/>
  <c r="F43" i="1"/>
  <c r="F40" i="1"/>
  <c r="F33" i="1"/>
  <c r="F27" i="1"/>
  <c r="F11" i="1"/>
  <c r="H26" i="7" l="1"/>
  <c r="H21" i="7" s="1"/>
  <c r="H11" i="7" s="1"/>
  <c r="H156" i="4"/>
  <c r="G77" i="7"/>
  <c r="E55" i="5"/>
  <c r="E17" i="5" s="1"/>
  <c r="D59" i="7"/>
  <c r="D54" i="7" s="1"/>
  <c r="D44" i="7" s="1"/>
  <c r="D77" i="7" s="1"/>
  <c r="D81" i="7" s="1"/>
  <c r="F55" i="5"/>
  <c r="F17" i="5" s="1"/>
  <c r="H21" i="2"/>
  <c r="F156" i="4"/>
  <c r="F160" i="4" s="1"/>
  <c r="G55" i="5"/>
  <c r="G17" i="5" s="1"/>
  <c r="H54" i="7"/>
  <c r="H44" i="7" s="1"/>
  <c r="G22" i="8"/>
  <c r="G34" i="8" s="1"/>
  <c r="E156" i="4"/>
  <c r="E160" i="4" s="1"/>
  <c r="H160" i="4"/>
  <c r="I156" i="4"/>
  <c r="I160" i="4" s="1"/>
  <c r="D156" i="4"/>
  <c r="D160" i="4" s="1"/>
  <c r="E45" i="5"/>
  <c r="E16" i="5" s="1"/>
  <c r="G156" i="4"/>
  <c r="G160" i="4" s="1"/>
  <c r="G45" i="5"/>
  <c r="G16" i="5" s="1"/>
  <c r="F49" i="1"/>
  <c r="F64" i="1" s="1"/>
  <c r="E52" i="5"/>
  <c r="F45" i="5"/>
  <c r="F16" i="5" s="1"/>
  <c r="F52" i="5"/>
  <c r="G52" i="5"/>
  <c r="E42" i="5"/>
  <c r="K9" i="9"/>
  <c r="J9" i="9"/>
  <c r="H77" i="7" l="1"/>
  <c r="H81" i="7" s="1"/>
  <c r="E57" i="5"/>
  <c r="E58" i="5" s="1"/>
  <c r="G82" i="7"/>
  <c r="G81" i="7"/>
  <c r="G35" i="8"/>
  <c r="G39" i="8"/>
  <c r="H82" i="7"/>
  <c r="F57" i="5"/>
  <c r="F58" i="5" s="1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L21" i="9" l="1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<sst xmlns="http://schemas.openxmlformats.org/spreadsheetml/2006/main" count="857" uniqueCount="546">
  <si>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</si>
  <si>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</si>
  <si>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</si>
  <si>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</si>
  <si>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</si>
  <si>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</si>
  <si>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</si>
  <si>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</si>
  <si>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</si>
  <si>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</si>
  <si>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</si>
  <si>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</si>
  <si>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</si>
  <si>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</si>
  <si>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</si>
  <si>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</si>
  <si>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</si>
  <si>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</si>
  <si>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</si>
  <si>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</si>
  <si>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</si>
  <si>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</si>
  <si>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</si>
  <si>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</si>
  <si>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</si>
  <si>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</si>
  <si>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</si>
  <si>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</si>
  <si>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</si>
  <si>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</si>
  <si>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</si>
  <si>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</si>
  <si>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</si>
  <si>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</si>
  <si>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</si>
  <si>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</si>
  <si>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</si>
  <si>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</si>
  <si>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</si>
  <si>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</si>
  <si>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</si>
  <si>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</si>
  <si>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</si>
  <si>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</si>
  <si>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</si>
  <si>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</si>
  <si>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</si>
  <si>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</si>
  <si>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</si>
  <si>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</si>
  <si>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</si>
  <si>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</si>
  <si>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</si>
  <si>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</si>
  <si>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</si>
  <si>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</si>
  <si>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</si>
  <si>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</si>
  <si>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</si>
  <si>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</si>
  <si>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</si>
  <si>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</si>
  <si>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</si>
  <si>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</si>
  <si>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</si>
  <si>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</si>
  <si>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</si>
  <si>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</si>
  <si>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</si>
  <si>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</si>
  <si>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</si>
  <si>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</si>
  <si>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</si>
  <si>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</si>
  <si>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</si>
  <si>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</si>
  <si>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</si>
  <si>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</si>
  <si>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</si>
  <si>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</si>
  <si>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</si>
  <si>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</si>
  <si>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</si>
  <si>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</si>
  <si>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</si>
  <si>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</si>
  <si>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</si>
  <si>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</si>
  <si>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</si>
  <si>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</si>
  <si>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</si>
  <si>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</si>
  <si>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</si>
  <si>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</si>
  <si>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</si>
  <si>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</si>
  <si>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</si>
  <si>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</si>
  <si>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</si>
  <si>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</si>
  <si>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</si>
  <si>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</si>
  <si>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</si>
  <si>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</si>
  <si>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</si>
  <si>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</si>
  <si>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</si>
  <si>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</si>
  <si>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</si>
  <si>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</si>
  <si>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</si>
  <si>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</si>
  <si>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</si>
  <si>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</si>
  <si>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</si>
  <si>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</si>
  <si>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</si>
  <si>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</si>
  <si>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</si>
  <si>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</si>
  <si>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</si>
  <si>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</si>
  <si>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</si>
  <si>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</si>
  <si>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</si>
  <si>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</si>
  <si>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</si>
  <si>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</si>
  <si>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</si>
  <si>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</si>
  <si>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</si>
  <si>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</si>
  <si>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</si>
  <si>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</si>
  <si>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</si>
  <si>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</si>
  <si>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</si>
  <si>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</si>
  <si>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</si>
  <si>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</si>
  <si>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</si>
  <si>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</si>
  <si>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</si>
  <si>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</si>
  <si>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</si>
  <si>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</si>
  <si>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</si>
  <si>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</si>
  <si>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</si>
  <si>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</si>
  <si>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</si>
  <si>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</si>
  <si>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</si>
  <si>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</si>
  <si>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</si>
  <si>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</si>
  <si>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</si>
  <si>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</si>
  <si>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</si>
  <si>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</si>
  <si>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</si>
  <si>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</si>
  <si>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</si>
  <si>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</si>
  <si>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</si>
  <si>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</si>
  <si>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</si>
  <si>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</si>
  <si>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</si>
  <si>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</si>
  <si>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</si>
  <si>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</si>
  <si>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</si>
  <si>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</si>
  <si>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</si>
  <si>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</si>
  <si>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</si>
  <si>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</si>
  <si>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</si>
  <si>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</si>
  <si>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</si>
  <si>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</si>
  <si>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</si>
  <si>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</si>
  <si>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</si>
  <si>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</si>
  <si>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</si>
  <si>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</si>
  <si>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</si>
  <si>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</si>
  <si>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</si>
  <si>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</si>
  <si>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</si>
  <si>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</si>
  <si>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</si>
  <si>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</si>
  <si>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</si>
  <si>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</si>
  <si>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</si>
  <si>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</si>
  <si>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</si>
  <si>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</si>
  <si>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</si>
  <si>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</si>
  <si>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</si>
  <si>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</si>
  <si>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</si>
  <si>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</si>
  <si>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</si>
  <si>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</si>
  <si>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</si>
  <si>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</si>
  <si>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</si>
  <si>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</si>
  <si>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</si>
  <si>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</si>
  <si>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</si>
  <si>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</si>
  <si>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</si>
  <si>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</si>
  <si>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</si>
  <si>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</si>
  <si>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</si>
  <si>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</si>
  <si>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</si>
  <si>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</si>
  <si>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</si>
  <si>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</si>
  <si>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</si>
  <si>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</si>
  <si>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</si>
  <si>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</si>
  <si>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</si>
  <si>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</si>
  <si>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</si>
  <si>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</si>
  <si>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</si>
  <si>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</si>
  <si>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</si>
  <si>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</si>
  <si>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</si>
  <si>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</si>
  <si>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</si>
  <si>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</si>
  <si>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</si>
  <si>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</si>
  <si>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</si>
  <si>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</si>
  <si>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</si>
  <si>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</si>
  <si>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</si>
  <si>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</si>
  <si>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</si>
  <si>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</si>
  <si>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</si>
  <si>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</si>
  <si>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</si>
  <si>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</si>
  <si>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</si>
  <si>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</si>
  <si>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</si>
  <si>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</si>
  <si>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</si>
  <si>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</si>
  <si>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</si>
  <si>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</si>
  <si>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</si>
  <si>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</si>
  <si>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</si>
  <si>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</si>
  <si>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</si>
  <si>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</si>
  <si>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</si>
  <si>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</si>
  <si>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</si>
  <si>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</si>
  <si>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</si>
  <si>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</si>
  <si>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</si>
  <si>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</si>
  <si>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</si>
  <si>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</si>
  <si>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</si>
  <si>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</si>
  <si>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</si>
  <si>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</si>
  <si>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</si>
  <si>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</si>
  <si>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</si>
  <si>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</si>
  <si>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</si>
  <si>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</si>
  <si>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</si>
  <si>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</si>
  <si>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</si>
  <si>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</si>
  <si>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</si>
  <si>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</si>
  <si>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</si>
  <si>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</si>
  <si>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</si>
  <si>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</si>
  <si>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</si>
  <si>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</si>
  <si>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</si>
  <si>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</si>
  <si>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</si>
  <si>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</si>
  <si>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</si>
  <si>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</si>
  <si>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</si>
  <si>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</si>
  <si>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</si>
  <si>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</si>
  <si>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</si>
  <si>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</si>
  <si>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</si>
  <si>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</si>
  <si>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</si>
  <si>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</si>
  <si>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</si>
  <si>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</si>
  <si>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</si>
  <si>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</si>
  <si>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</si>
  <si>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</si>
  <si>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</si>
  <si>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</si>
  <si>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</si>
  <si>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</si>
  <si>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</si>
  <si>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</si>
  <si>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</si>
  <si>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</si>
  <si>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</si>
  <si>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</si>
  <si>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</si>
  <si>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</si>
  <si>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</si>
  <si>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</si>
  <si>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</si>
  <si>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</si>
  <si>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</si>
  <si>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</si>
  <si>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</si>
  <si>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</si>
  <si>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</si>
  <si>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</si>
  <si>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</si>
  <si>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</si>
  <si>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</si>
  <si>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</si>
  <si>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</si>
  <si>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</si>
  <si>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</si>
  <si>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</si>
  <si>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</si>
  <si>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</si>
  <si>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</si>
  <si>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</si>
  <si>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</si>
  <si>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</si>
  <si>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</si>
  <si>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</si>
  <si>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</si>
  <si>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</si>
  <si>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</si>
  <si>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</si>
  <si>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</si>
  <si>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</si>
  <si>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</si>
  <si>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</si>
  <si>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</si>
  <si>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</si>
  <si>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</si>
  <si>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</si>
  <si>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</si>
  <si>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</si>
  <si>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</si>
  <si>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</si>
  <si>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</si>
  <si>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</si>
  <si>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</si>
  <si>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</si>
  <si>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</si>
  <si>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</si>
  <si>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</si>
  <si>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</si>
  <si>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</si>
  <si>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</si>
  <si>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</si>
  <si>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</si>
  <si>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</si>
  <si>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</si>
  <si>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</si>
  <si>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</si>
  <si>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</si>
  <si>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</si>
  <si>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</si>
  <si>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</si>
  <si>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</si>
  <si>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</si>
  <si>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</si>
  <si>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</si>
  <si>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</si>
  <si>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</si>
  <si>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</si>
  <si>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</si>
  <si>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</si>
  <si>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</si>
  <si>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</si>
  <si>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</si>
  <si>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</si>
  <si>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</si>
  <si>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</si>
  <si>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</si>
  <si>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</si>
  <si>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</si>
  <si>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</si>
  <si>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</si>
  <si>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</si>
  <si>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</si>
  <si>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</si>
  <si>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</si>
  <si>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</si>
  <si>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</si>
  <si>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</si>
  <si>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</si>
  <si>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</si>
  <si>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</si>
  <si>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</si>
  <si>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</si>
  <si>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</si>
  <si>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</si>
  <si>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</si>
  <si>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</si>
  <si>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</si>
  <si>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</si>
  <si>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</si>
  <si>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</si>
  <si>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</si>
  <si>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</si>
  <si>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</si>
  <si>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</si>
  <si>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</si>
  <si>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</si>
  <si>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</si>
  <si>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</si>
  <si>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</si>
  <si>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</si>
  <si>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</si>
  <si>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</si>
  <si>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</si>
  <si>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</si>
  <si>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</si>
  <si>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</si>
  <si>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</si>
  <si>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</si>
  <si>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</si>
  <si>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</si>
  <si>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</si>
  <si>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</si>
  <si>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</si>
  <si>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</si>
  <si>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</si>
  <si>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</si>
  <si>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</si>
  <si>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</si>
  <si>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</si>
  <si>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</si>
  <si>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</si>
  <si>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</si>
  <si>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</si>
  <si>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</si>
  <si>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</si>
  <si>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</si>
  <si>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</si>
  <si>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</si>
  <si>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</si>
  <si>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</si>
  <si>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</si>
  <si>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</si>
  <si>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</si>
  <si>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</si>
  <si>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</si>
  <si>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</si>
  <si>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</si>
  <si>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</si>
  <si>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</si>
  <si>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</si>
  <si>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</si>
  <si>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</si>
  <si>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</si>
  <si>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</si>
  <si>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</si>
  <si>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</si>
  <si>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</si>
  <si>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</si>
  <si>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</si>
  <si>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</si>
  <si>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</si>
  <si>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</si>
  <si>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</si>
  <si>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</si>
  <si>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</si>
  <si>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</si>
  <si>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</si>
  <si>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</si>
  <si>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</si>
  <si>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</si>
  <si>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</si>
  <si>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</si>
  <si>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</si>
  <si>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</si>
  <si>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</si>
  <si>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</si>
  <si>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</si>
  <si>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</si>
  <si>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</si>
  <si>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</si>
  <si>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</si>
  <si>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</si>
  <si>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</si>
  <si>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</si>
  <si>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</si>
  <si>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</si>
  <si>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</si>
  <si>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</si>
  <si>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</si>
  <si>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</si>
  <si>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</si>
  <si>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</si>
  <si>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</si>
  <si>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</si>
  <si>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31 de Diciembre de 2020</t>
  </si>
  <si>
    <t>Estado Analitico de Ingresos Detallado - LDF</t>
  </si>
  <si>
    <t>Saldo al 31 de diciembre de 2020(d)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</si>
  <si>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</si>
  <si>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</si>
  <si>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</si>
  <si>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Al 31 de Diciembre de 2020 y al 30 de Junio de 2021</t>
  </si>
  <si>
    <t>30 de Junio de 2021</t>
  </si>
  <si>
    <t>Del 1 de Enero al 30 de Junio de 2021 (b)</t>
  </si>
  <si>
    <t>Del 1 de Enero al 30 de Junio de 2021</t>
  </si>
  <si>
    <t>del 01 de Enero al 30 de Junio de 2021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</si>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</sst>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164" fontId="15" fillId="0" borderId="0"/>
    <xf numFmtId="0" fontId="15" fillId="0" borderId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519">
    <xf numFmtId="0" fontId="0" fillId="0" borderId="0" xfId="0"/>
    <xf numFmtId="0" fontId="11" fillId="0" borderId="0" xfId="0" applyFont="1"/>
    <xf numFmtId="4" fontId="11" fillId="0" borderId="0" xfId="0" applyNumberFormat="1" applyFont="1"/>
    <xf numFmtId="0" fontId="11" fillId="0" borderId="0" xfId="0" applyFont="1" applyBorder="1"/>
    <xf numFmtId="4" fontId="11" fillId="0" borderId="0" xfId="0" applyNumberFormat="1" applyFont="1" applyFill="1" applyBorder="1"/>
    <xf numFmtId="0" fontId="14" fillId="2" borderId="0" xfId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0" xfId="0" applyFont="1" applyFill="1"/>
    <xf numFmtId="0" fontId="12" fillId="0" borderId="0" xfId="0" applyFont="1" applyFill="1"/>
    <xf numFmtId="0" fontId="12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3" fontId="11" fillId="0" borderId="5" xfId="0" applyNumberFormat="1" applyFont="1" applyBorder="1"/>
    <xf numFmtId="4" fontId="11" fillId="0" borderId="5" xfId="0" applyNumberFormat="1" applyFont="1" applyBorder="1"/>
    <xf numFmtId="0" fontId="11" fillId="0" borderId="7" xfId="0" applyFont="1" applyBorder="1"/>
    <xf numFmtId="0" fontId="11" fillId="2" borderId="9" xfId="0" applyFont="1" applyFill="1" applyBorder="1"/>
    <xf numFmtId="0" fontId="11" fillId="0" borderId="11" xfId="0" applyFont="1" applyFill="1" applyBorder="1"/>
    <xf numFmtId="0" fontId="11" fillId="0" borderId="10" xfId="0" applyFont="1" applyBorder="1"/>
    <xf numFmtId="4" fontId="11" fillId="2" borderId="9" xfId="0" applyNumberFormat="1" applyFont="1" applyFill="1" applyBorder="1"/>
    <xf numFmtId="4" fontId="11" fillId="0" borderId="10" xfId="0" applyNumberFormat="1" applyFont="1" applyBorder="1"/>
    <xf numFmtId="0" fontId="11" fillId="2" borderId="1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" fontId="11" fillId="0" borderId="1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12" fillId="0" borderId="0" xfId="0" applyNumberFormat="1" applyFont="1" applyFill="1"/>
    <xf numFmtId="3" fontId="11" fillId="0" borderId="11" xfId="0" applyNumberFormat="1" applyFont="1" applyFill="1" applyBorder="1"/>
    <xf numFmtId="3" fontId="11" fillId="0" borderId="11" xfId="0" applyNumberFormat="1" applyFont="1" applyBorder="1"/>
    <xf numFmtId="0" fontId="9" fillId="0" borderId="0" xfId="6"/>
    <xf numFmtId="0" fontId="9" fillId="0" borderId="0" xfId="6" applyFill="1"/>
    <xf numFmtId="0" fontId="20" fillId="0" borderId="4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center" vertical="center"/>
    </xf>
    <xf numFmtId="4" fontId="20" fillId="0" borderId="9" xfId="5" applyNumberFormat="1" applyFont="1" applyFill="1" applyBorder="1" applyAlignment="1">
      <alignment horizontal="right" vertical="center"/>
    </xf>
    <xf numFmtId="0" fontId="17" fillId="0" borderId="0" xfId="6" applyFont="1"/>
    <xf numFmtId="0" fontId="17" fillId="0" borderId="1" xfId="6" applyFont="1" applyFill="1" applyBorder="1"/>
    <xf numFmtId="0" fontId="17" fillId="0" borderId="3" xfId="6" applyFont="1" applyFill="1" applyBorder="1"/>
    <xf numFmtId="4" fontId="17" fillId="0" borderId="9" xfId="6" applyNumberFormat="1" applyFont="1" applyFill="1" applyBorder="1"/>
    <xf numFmtId="0" fontId="9" fillId="0" borderId="5" xfId="6" applyFont="1" applyBorder="1"/>
    <xf numFmtId="0" fontId="17" fillId="0" borderId="4" xfId="6" applyFont="1" applyFill="1" applyBorder="1"/>
    <xf numFmtId="0" fontId="17" fillId="0" borderId="5" xfId="6" applyFont="1" applyFill="1" applyBorder="1"/>
    <xf numFmtId="0" fontId="19" fillId="0" borderId="5" xfId="6" applyFont="1" applyBorder="1"/>
    <xf numFmtId="0" fontId="9" fillId="0" borderId="8" xfId="6" applyFont="1" applyBorder="1"/>
    <xf numFmtId="0" fontId="17" fillId="0" borderId="15" xfId="6" applyFont="1" applyBorder="1"/>
    <xf numFmtId="0" fontId="17" fillId="0" borderId="13" xfId="6" applyFont="1" applyBorder="1"/>
    <xf numFmtId="4" fontId="17" fillId="0" borderId="14" xfId="6" applyNumberFormat="1" applyFont="1" applyBorder="1"/>
    <xf numFmtId="0" fontId="9" fillId="0" borderId="4" xfId="6" applyFont="1" applyBorder="1" applyAlignment="1">
      <alignment horizontal="right"/>
    </xf>
    <xf numFmtId="0" fontId="9" fillId="0" borderId="6" xfId="6" applyFont="1" applyBorder="1" applyAlignment="1">
      <alignment horizontal="right"/>
    </xf>
    <xf numFmtId="0" fontId="9" fillId="0" borderId="0" xfId="6"/>
    <xf numFmtId="166" fontId="9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8" fillId="0" borderId="11" xfId="0" applyNumberFormat="1" applyFont="1" applyFill="1" applyBorder="1" applyAlignment="1" applyProtection="1">
      <alignment horizontal="right" wrapText="1"/>
      <protection locked="0"/>
    </xf>
    <xf numFmtId="3" fontId="24" fillId="0" borderId="11" xfId="8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 wrapText="1"/>
      <protection locked="0"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8" fillId="0" borderId="11" xfId="6" applyNumberFormat="1" applyFont="1" applyBorder="1"/>
    <xf numFmtId="4" fontId="8" fillId="0" borderId="10" xfId="6" applyNumberFormat="1" applyFont="1" applyBorder="1"/>
    <xf numFmtId="3" fontId="28" fillId="0" borderId="11" xfId="0" applyNumberFormat="1" applyFont="1" applyFill="1" applyBorder="1" applyAlignment="1" applyProtection="1">
      <alignment horizontal="right"/>
      <protection locked="0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>
      <alignment horizontal="right"/>
    </xf>
    <xf numFmtId="0" fontId="17" fillId="2" borderId="9" xfId="6" applyFont="1" applyFill="1" applyBorder="1"/>
    <xf numFmtId="0" fontId="9" fillId="2" borderId="11" xfId="6" applyFill="1" applyBorder="1" applyAlignment="1">
      <alignment horizontal="left" indent="2"/>
    </xf>
    <xf numFmtId="0" fontId="9" fillId="2" borderId="11" xfId="6" applyFill="1" applyBorder="1" applyAlignment="1">
      <alignment horizontal="left" indent="4"/>
    </xf>
    <xf numFmtId="0" fontId="17" fillId="2" borderId="11" xfId="6" applyFont="1" applyFill="1" applyBorder="1" applyAlignment="1">
      <alignment horizontal="left"/>
    </xf>
    <xf numFmtId="0" fontId="9" fillId="2" borderId="11" xfId="6" applyFill="1" applyBorder="1" applyAlignment="1">
      <alignment horizontal="left" wrapText="1" indent="4"/>
    </xf>
    <xf numFmtId="0" fontId="17" fillId="2" borderId="11" xfId="6" applyFont="1" applyFill="1" applyBorder="1" applyAlignment="1">
      <alignment horizontal="left" indent="2"/>
    </xf>
    <xf numFmtId="0" fontId="17" fillId="2" borderId="10" xfId="6" applyFont="1" applyFill="1" applyBorder="1" applyAlignment="1">
      <alignment horizontal="left"/>
    </xf>
    <xf numFmtId="0" fontId="9" fillId="2" borderId="9" xfId="6" applyFill="1" applyBorder="1"/>
    <xf numFmtId="3" fontId="9" fillId="2" borderId="11" xfId="7" applyNumberFormat="1" applyFont="1" applyFill="1" applyBorder="1"/>
    <xf numFmtId="3" fontId="17" fillId="2" borderId="11" xfId="7" applyNumberFormat="1" applyFont="1" applyFill="1" applyBorder="1"/>
    <xf numFmtId="3" fontId="8" fillId="2" borderId="11" xfId="7" applyNumberFormat="1" applyFont="1" applyFill="1" applyBorder="1"/>
    <xf numFmtId="3" fontId="17" fillId="2" borderId="10" xfId="7" applyNumberFormat="1" applyFont="1" applyFill="1" applyBorder="1"/>
    <xf numFmtId="0" fontId="11" fillId="4" borderId="6" xfId="0" applyFont="1" applyFill="1" applyBorder="1"/>
    <xf numFmtId="0" fontId="14" fillId="4" borderId="7" xfId="1" applyFont="1" applyFill="1" applyBorder="1" applyAlignment="1">
      <alignment horizontal="right"/>
    </xf>
    <xf numFmtId="49" fontId="11" fillId="0" borderId="1" xfId="0" applyNumberFormat="1" applyFont="1" applyBorder="1"/>
    <xf numFmtId="49" fontId="11" fillId="0" borderId="4" xfId="0" applyNumberFormat="1" applyFont="1" applyBorder="1"/>
    <xf numFmtId="49" fontId="11" fillId="0" borderId="6" xfId="0" applyNumberFormat="1" applyFont="1" applyBorder="1"/>
    <xf numFmtId="0" fontId="30" fillId="0" borderId="0" xfId="6" applyFont="1"/>
    <xf numFmtId="0" fontId="31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vertical="center" wrapText="1"/>
    </xf>
    <xf numFmtId="0" fontId="30" fillId="0" borderId="16" xfId="6" applyFont="1" applyBorder="1" applyAlignment="1">
      <alignment horizontal="left" vertical="center" wrapText="1" indent="2"/>
    </xf>
    <xf numFmtId="4" fontId="30" fillId="0" borderId="28" xfId="6" applyNumberFormat="1" applyFont="1" applyBorder="1" applyAlignment="1">
      <alignment horizontal="right" vertical="center" wrapText="1"/>
    </xf>
    <xf numFmtId="4" fontId="21" fillId="0" borderId="28" xfId="10" applyNumberFormat="1" applyFont="1" applyFill="1" applyBorder="1" applyAlignment="1">
      <alignment horizontal="right" vertical="center"/>
    </xf>
    <xf numFmtId="4" fontId="30" fillId="0" borderId="28" xfId="6" applyNumberFormat="1" applyFont="1" applyBorder="1" applyAlignment="1">
      <alignment horizontal="right"/>
    </xf>
    <xf numFmtId="0" fontId="30" fillId="0" borderId="16" xfId="6" applyFont="1" applyBorder="1" applyAlignment="1">
      <alignment horizontal="left" vertical="center" wrapText="1" indent="4"/>
    </xf>
    <xf numFmtId="0" fontId="30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horizontal="right" vertical="center" wrapText="1"/>
    </xf>
    <xf numFmtId="4" fontId="31" fillId="0" borderId="23" xfId="6" applyNumberFormat="1" applyFont="1" applyBorder="1" applyAlignment="1">
      <alignment horizontal="right" vertical="center" wrapText="1"/>
    </xf>
    <xf numFmtId="4" fontId="30" fillId="0" borderId="28" xfId="6" applyNumberFormat="1" applyFont="1" applyFill="1" applyBorder="1" applyAlignment="1">
      <alignment horizontal="right" vertical="center" wrapText="1"/>
    </xf>
    <xf numFmtId="0" fontId="30" fillId="0" borderId="16" xfId="6" applyFont="1" applyBorder="1" applyAlignment="1">
      <alignment horizontal="left" vertical="center" wrapText="1" indent="5"/>
    </xf>
    <xf numFmtId="0" fontId="31" fillId="0" borderId="18" xfId="6" applyFont="1" applyBorder="1" applyAlignment="1">
      <alignment horizontal="left" vertical="center" wrapText="1"/>
    </xf>
    <xf numFmtId="4" fontId="31" fillId="0" borderId="30" xfId="6" applyNumberFormat="1" applyFont="1" applyBorder="1" applyAlignment="1">
      <alignment vertical="center" wrapText="1"/>
    </xf>
    <xf numFmtId="0" fontId="17" fillId="0" borderId="16" xfId="6" applyFont="1" applyBorder="1" applyAlignment="1">
      <alignment horizontal="left" vertical="center" wrapText="1"/>
    </xf>
    <xf numFmtId="0" fontId="7" fillId="2" borderId="0" xfId="11" applyFont="1" applyFill="1" applyBorder="1"/>
    <xf numFmtId="4" fontId="7" fillId="0" borderId="28" xfId="11" applyNumberFormat="1" applyFont="1" applyFill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1" applyFont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12" applyFont="1" applyFill="1" applyBorder="1" applyAlignment="1">
      <alignment horizontal="left" vertical="center" indent="2"/>
    </xf>
    <xf numFmtId="4" fontId="17" fillId="0" borderId="28" xfId="11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7" fillId="0" borderId="0" xfId="11" applyFont="1" applyAlignment="1">
      <alignment vertical="center"/>
    </xf>
    <xf numFmtId="4" fontId="7" fillId="0" borderId="28" xfId="10" applyNumberFormat="1" applyFont="1" applyFill="1" applyBorder="1" applyAlignment="1">
      <alignment horizontal="right" vertical="center"/>
    </xf>
    <xf numFmtId="0" fontId="7" fillId="0" borderId="0" xfId="10" applyFont="1" applyAlignment="1">
      <alignment vertical="center"/>
    </xf>
    <xf numFmtId="4" fontId="17" fillId="0" borderId="18" xfId="10" applyNumberFormat="1" applyFont="1" applyBorder="1"/>
    <xf numFmtId="4" fontId="17" fillId="0" borderId="30" xfId="10" applyNumberFormat="1" applyFont="1" applyBorder="1"/>
    <xf numFmtId="0" fontId="7" fillId="0" borderId="0" xfId="10" applyFont="1"/>
    <xf numFmtId="4" fontId="7" fillId="0" borderId="0" xfId="10" applyNumberFormat="1" applyFont="1"/>
    <xf numFmtId="0" fontId="0" fillId="0" borderId="0" xfId="0" applyFill="1" applyBorder="1"/>
    <xf numFmtId="4" fontId="7" fillId="0" borderId="23" xfId="6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28" xfId="6" applyNumberFormat="1" applyFont="1" applyBorder="1" applyAlignment="1">
      <alignment horizontal="right" vertical="center"/>
    </xf>
    <xf numFmtId="3" fontId="17" fillId="0" borderId="23" xfId="6" applyNumberFormat="1" applyFont="1" applyBorder="1" applyAlignment="1">
      <alignment horizontal="right" vertical="center"/>
    </xf>
    <xf numFmtId="0" fontId="7" fillId="0" borderId="16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3" fontId="7" fillId="0" borderId="28" xfId="6" applyNumberFormat="1" applyFont="1" applyBorder="1" applyAlignment="1">
      <alignment horizontal="right" vertical="center"/>
    </xf>
    <xf numFmtId="3" fontId="7" fillId="0" borderId="23" xfId="6" applyNumberFormat="1" applyFont="1" applyBorder="1" applyAlignment="1">
      <alignment horizontal="right" vertical="center"/>
    </xf>
    <xf numFmtId="0" fontId="17" fillId="0" borderId="16" xfId="6" applyFont="1" applyBorder="1" applyAlignment="1">
      <alignment vertical="center"/>
    </xf>
    <xf numFmtId="0" fontId="17" fillId="0" borderId="23" xfId="6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8" xfId="6" applyFont="1" applyBorder="1" applyAlignment="1">
      <alignment vertical="center"/>
    </xf>
    <xf numFmtId="0" fontId="17" fillId="0" borderId="20" xfId="6" applyFont="1" applyBorder="1" applyAlignment="1">
      <alignment vertical="center"/>
    </xf>
    <xf numFmtId="0" fontId="9" fillId="0" borderId="0" xfId="6" applyFill="1" applyBorder="1"/>
    <xf numFmtId="165" fontId="20" fillId="0" borderId="0" xfId="5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0" fontId="19" fillId="0" borderId="0" xfId="11" applyFont="1"/>
    <xf numFmtId="0" fontId="19" fillId="0" borderId="0" xfId="11" applyFont="1" applyBorder="1"/>
    <xf numFmtId="0" fontId="32" fillId="0" borderId="0" xfId="0" applyFont="1"/>
    <xf numFmtId="0" fontId="32" fillId="0" borderId="0" xfId="0" applyFon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32" fillId="0" borderId="0" xfId="0" applyFont="1" applyFill="1"/>
    <xf numFmtId="0" fontId="34" fillId="0" borderId="0" xfId="6" applyFont="1"/>
    <xf numFmtId="0" fontId="33" fillId="0" borderId="0" xfId="6" applyFont="1" applyFill="1" applyBorder="1" applyAlignment="1">
      <alignment horizontal="center" vertical="center"/>
    </xf>
    <xf numFmtId="0" fontId="34" fillId="0" borderId="0" xfId="6" applyFont="1" applyFill="1" applyBorder="1"/>
    <xf numFmtId="4" fontId="17" fillId="0" borderId="11" xfId="6" applyNumberFormat="1" applyFont="1" applyBorder="1"/>
    <xf numFmtId="0" fontId="29" fillId="0" borderId="0" xfId="0" applyFont="1" applyAlignment="1">
      <alignment vertical="center"/>
    </xf>
    <xf numFmtId="0" fontId="11" fillId="6" borderId="1" xfId="0" applyFont="1" applyFill="1" applyBorder="1"/>
    <xf numFmtId="0" fontId="13" fillId="6" borderId="2" xfId="1" applyFont="1" applyFill="1" applyBorder="1" applyAlignment="1"/>
    <xf numFmtId="0" fontId="11" fillId="6" borderId="4" xfId="0" applyFont="1" applyFill="1" applyBorder="1"/>
    <xf numFmtId="3" fontId="14" fillId="6" borderId="0" xfId="1" applyNumberFormat="1" applyFont="1" applyFill="1" applyBorder="1" applyAlignment="1"/>
    <xf numFmtId="0" fontId="14" fillId="6" borderId="0" xfId="1" applyFont="1" applyFill="1" applyBorder="1" applyAlignment="1"/>
    <xf numFmtId="0" fontId="11" fillId="6" borderId="6" xfId="0" applyFont="1" applyFill="1" applyBorder="1"/>
    <xf numFmtId="0" fontId="14" fillId="6" borderId="7" xfId="2" applyNumberFormat="1" applyFont="1" applyFill="1" applyBorder="1" applyAlignment="1">
      <alignment vertical="center"/>
    </xf>
    <xf numFmtId="0" fontId="12" fillId="6" borderId="6" xfId="0" applyFont="1" applyFill="1" applyBorder="1"/>
    <xf numFmtId="3" fontId="23" fillId="6" borderId="14" xfId="0" applyNumberFormat="1" applyFont="1" applyFill="1" applyBorder="1" applyAlignment="1" applyProtection="1">
      <alignment horizontal="center" vertical="center" wrapText="1"/>
    </xf>
    <xf numFmtId="3" fontId="23" fillId="6" borderId="14" xfId="0" applyNumberFormat="1" applyFont="1" applyFill="1" applyBorder="1" applyAlignment="1" applyProtection="1">
      <alignment horizontal="center" wrapText="1"/>
    </xf>
    <xf numFmtId="3" fontId="28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/>
      <protection locked="0"/>
    </xf>
    <xf numFmtId="3" fontId="17" fillId="4" borderId="11" xfId="7" applyNumberFormat="1" applyFont="1" applyFill="1" applyBorder="1"/>
    <xf numFmtId="0" fontId="17" fillId="7" borderId="14" xfId="6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 wrapText="1"/>
    </xf>
    <xf numFmtId="0" fontId="20" fillId="7" borderId="14" xfId="5" applyFont="1" applyFill="1" applyBorder="1" applyAlignment="1">
      <alignment horizontal="center" vertical="center"/>
    </xf>
    <xf numFmtId="0" fontId="20" fillId="7" borderId="14" xfId="5" applyFont="1" applyFill="1" applyBorder="1" applyAlignment="1">
      <alignment horizontal="center" vertical="center" wrapText="1"/>
    </xf>
    <xf numFmtId="0" fontId="20" fillId="7" borderId="10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 wrapText="1"/>
    </xf>
    <xf numFmtId="0" fontId="20" fillId="7" borderId="26" xfId="6" applyFont="1" applyFill="1" applyBorder="1" applyAlignment="1">
      <alignment horizontal="center" vertical="center" wrapText="1"/>
    </xf>
    <xf numFmtId="0" fontId="35" fillId="7" borderId="30" xfId="5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 wrapText="1"/>
    </xf>
    <xf numFmtId="0" fontId="31" fillId="0" borderId="0" xfId="6" applyFont="1"/>
    <xf numFmtId="0" fontId="5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1" fillId="0" borderId="11" xfId="0" applyNumberFormat="1" applyFont="1" applyFill="1" applyBorder="1"/>
    <xf numFmtId="4" fontId="12" fillId="0" borderId="11" xfId="0" applyNumberFormat="1" applyFont="1" applyFill="1" applyBorder="1"/>
    <xf numFmtId="4" fontId="11" fillId="0" borderId="11" xfId="0" applyNumberFormat="1" applyFont="1" applyBorder="1"/>
    <xf numFmtId="4" fontId="0" fillId="0" borderId="11" xfId="0" applyNumberFormat="1" applyBorder="1" applyAlignment="1"/>
    <xf numFmtId="0" fontId="23" fillId="0" borderId="0" xfId="0" applyFont="1" applyAlignment="1">
      <alignment horizontal="justify" vertical="center"/>
    </xf>
    <xf numFmtId="0" fontId="3" fillId="0" borderId="0" xfId="0" applyFont="1"/>
    <xf numFmtId="0" fontId="23" fillId="6" borderId="23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justify" vertical="center" wrapText="1"/>
    </xf>
    <xf numFmtId="3" fontId="23" fillId="4" borderId="23" xfId="0" applyNumberFormat="1" applyFont="1" applyFill="1" applyBorder="1" applyAlignment="1">
      <alignment wrapText="1"/>
    </xf>
    <xf numFmtId="3" fontId="23" fillId="4" borderId="23" xfId="0" applyNumberFormat="1" applyFont="1" applyFill="1" applyBorder="1" applyAlignment="1">
      <alignment horizontal="right" wrapText="1"/>
    </xf>
    <xf numFmtId="3" fontId="23" fillId="0" borderId="23" xfId="0" applyNumberFormat="1" applyFont="1" applyBorder="1" applyAlignment="1">
      <alignment wrapText="1"/>
    </xf>
    <xf numFmtId="3" fontId="23" fillId="0" borderId="23" xfId="0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3" fontId="23" fillId="0" borderId="23" xfId="0" applyNumberFormat="1" applyFont="1" applyFill="1" applyBorder="1" applyAlignment="1">
      <alignment wrapText="1"/>
    </xf>
    <xf numFmtId="0" fontId="25" fillId="0" borderId="16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23" xfId="0" applyFont="1" applyFill="1" applyBorder="1" applyAlignment="1">
      <alignment horizontal="justify" vertical="center" wrapText="1"/>
    </xf>
    <xf numFmtId="3" fontId="3" fillId="0" borderId="28" xfId="0" applyNumberFormat="1" applyFont="1" applyFill="1" applyBorder="1" applyAlignment="1"/>
    <xf numFmtId="3" fontId="23" fillId="0" borderId="28" xfId="0" applyNumberFormat="1" applyFont="1" applyFill="1" applyBorder="1" applyAlignment="1">
      <alignment wrapText="1"/>
    </xf>
    <xf numFmtId="3" fontId="23" fillId="0" borderId="23" xfId="0" applyNumberFormat="1" applyFont="1" applyFill="1" applyBorder="1" applyAlignment="1">
      <alignment horizontal="right" wrapText="1"/>
    </xf>
    <xf numFmtId="43" fontId="3" fillId="0" borderId="0" xfId="9" applyFont="1"/>
    <xf numFmtId="167" fontId="38" fillId="0" borderId="23" xfId="9" applyNumberFormat="1" applyFont="1" applyFill="1" applyBorder="1" applyAlignment="1">
      <alignment horizontal="center"/>
    </xf>
    <xf numFmtId="3" fontId="23" fillId="0" borderId="23" xfId="9" applyNumberFormat="1" applyFont="1" applyBorder="1" applyAlignment="1">
      <alignment wrapText="1"/>
    </xf>
    <xf numFmtId="3" fontId="3" fillId="0" borderId="28" xfId="0" applyNumberFormat="1" applyFont="1" applyBorder="1" applyAlignment="1"/>
    <xf numFmtId="3" fontId="23" fillId="0" borderId="28" xfId="9" applyNumberFormat="1" applyFont="1" applyBorder="1" applyAlignment="1">
      <alignment wrapText="1"/>
    </xf>
    <xf numFmtId="167" fontId="38" fillId="0" borderId="0" xfId="9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justify" vertical="center" wrapText="1"/>
    </xf>
    <xf numFmtId="3" fontId="25" fillId="0" borderId="28" xfId="0" applyNumberFormat="1" applyFont="1" applyBorder="1" applyAlignment="1">
      <alignment wrapText="1"/>
    </xf>
    <xf numFmtId="3" fontId="25" fillId="0" borderId="28" xfId="0" applyNumberFormat="1" applyFont="1" applyFill="1" applyBorder="1" applyAlignment="1">
      <alignment wrapText="1"/>
    </xf>
    <xf numFmtId="3" fontId="3" fillId="0" borderId="0" xfId="0" applyNumberFormat="1" applyFont="1" applyAlignment="1"/>
    <xf numFmtId="3" fontId="25" fillId="0" borderId="28" xfId="0" applyNumberFormat="1" applyFont="1" applyFill="1" applyBorder="1" applyAlignment="1">
      <alignment horizontal="right" wrapText="1"/>
    </xf>
    <xf numFmtId="3" fontId="25" fillId="0" borderId="28" xfId="0" applyNumberFormat="1" applyFont="1" applyBorder="1" applyAlignment="1">
      <alignment horizontal="right" wrapText="1"/>
    </xf>
    <xf numFmtId="4" fontId="3" fillId="0" borderId="0" xfId="0" applyNumberFormat="1" applyFont="1"/>
    <xf numFmtId="3" fontId="23" fillId="0" borderId="28" xfId="0" applyNumberFormat="1" applyFont="1" applyBorder="1" applyAlignment="1">
      <alignment wrapText="1"/>
    </xf>
    <xf numFmtId="3" fontId="23" fillId="0" borderId="28" xfId="0" applyNumberFormat="1" applyFont="1" applyBorder="1" applyAlignment="1">
      <alignment horizontal="right"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39" fillId="0" borderId="26" xfId="0" applyNumberFormat="1" applyFont="1" applyBorder="1" applyAlignment="1">
      <alignment wrapText="1"/>
    </xf>
    <xf numFmtId="3" fontId="39" fillId="0" borderId="26" xfId="0" applyNumberFormat="1" applyFont="1" applyBorder="1" applyAlignment="1">
      <alignment horizontal="right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43" fontId="23" fillId="0" borderId="28" xfId="9" applyFont="1" applyBorder="1" applyAlignment="1">
      <alignment horizontal="justify" vertical="center" wrapText="1"/>
    </xf>
    <xf numFmtId="0" fontId="23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3" fillId="4" borderId="23" xfId="0" applyNumberFormat="1" applyFont="1" applyFill="1" applyBorder="1" applyAlignment="1">
      <alignment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 indent="1"/>
    </xf>
    <xf numFmtId="14" fontId="25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43" fontId="23" fillId="0" borderId="23" xfId="0" applyNumberFormat="1" applyFont="1" applyBorder="1" applyAlignment="1">
      <alignment horizontal="justify" vertical="center" wrapText="1"/>
    </xf>
    <xf numFmtId="168" fontId="23" fillId="0" borderId="23" xfId="0" applyNumberFormat="1" applyFont="1" applyBorder="1" applyAlignment="1">
      <alignment horizontal="justify" vertical="center" wrapText="1"/>
    </xf>
    <xf numFmtId="0" fontId="25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justify" vertical="center" wrapText="1"/>
    </xf>
    <xf numFmtId="43" fontId="3" fillId="2" borderId="11" xfId="9" applyFont="1" applyFill="1" applyBorder="1"/>
    <xf numFmtId="4" fontId="9" fillId="2" borderId="11" xfId="7" applyNumberFormat="1" applyFont="1" applyFill="1" applyBorder="1"/>
    <xf numFmtId="4" fontId="17" fillId="2" borderId="11" xfId="7" applyNumberFormat="1" applyFont="1" applyFill="1" applyBorder="1"/>
    <xf numFmtId="43" fontId="3" fillId="2" borderId="11" xfId="9" applyNumberFormat="1" applyFont="1" applyFill="1" applyBorder="1"/>
    <xf numFmtId="43" fontId="9" fillId="2" borderId="11" xfId="7" applyNumberFormat="1" applyFont="1" applyFill="1" applyBorder="1"/>
    <xf numFmtId="0" fontId="3" fillId="0" borderId="28" xfId="12" applyFont="1" applyFill="1" applyBorder="1" applyAlignment="1">
      <alignment horizontal="left" vertical="center" indent="2"/>
    </xf>
    <xf numFmtId="0" fontId="18" fillId="0" borderId="0" xfId="10" applyFont="1"/>
    <xf numFmtId="4" fontId="18" fillId="0" borderId="0" xfId="10" applyNumberFormat="1" applyFont="1"/>
    <xf numFmtId="43" fontId="18" fillId="0" borderId="0" xfId="9" applyFont="1"/>
    <xf numFmtId="2" fontId="17" fillId="0" borderId="28" xfId="6" applyNumberFormat="1" applyFont="1" applyBorder="1" applyAlignment="1">
      <alignment horizontal="right" vertical="center"/>
    </xf>
    <xf numFmtId="2" fontId="7" fillId="0" borderId="28" xfId="3" applyNumberFormat="1" applyFont="1" applyBorder="1" applyAlignment="1">
      <alignment horizontal="right"/>
    </xf>
    <xf numFmtId="2" fontId="7" fillId="0" borderId="28" xfId="6" applyNumberFormat="1" applyFont="1" applyBorder="1" applyAlignment="1">
      <alignment horizontal="right" vertical="center"/>
    </xf>
    <xf numFmtId="2" fontId="7" fillId="0" borderId="23" xfId="6" applyNumberFormat="1" applyFont="1" applyBorder="1" applyAlignment="1">
      <alignment horizontal="right" vertical="center"/>
    </xf>
    <xf numFmtId="2" fontId="7" fillId="0" borderId="11" xfId="3" applyNumberFormat="1" applyFont="1" applyBorder="1" applyAlignment="1">
      <alignment horizontal="right"/>
    </xf>
    <xf numFmtId="1" fontId="7" fillId="0" borderId="23" xfId="6" applyNumberFormat="1" applyFont="1" applyBorder="1" applyAlignment="1">
      <alignment horizontal="right" vertical="center"/>
    </xf>
    <xf numFmtId="43" fontId="17" fillId="0" borderId="23" xfId="6" applyNumberFormat="1" applyFont="1" applyBorder="1" applyAlignment="1">
      <alignment horizontal="right" vertical="center"/>
    </xf>
    <xf numFmtId="4" fontId="17" fillId="0" borderId="20" xfId="6" applyNumberFormat="1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 wrapText="1"/>
    </xf>
    <xf numFmtId="43" fontId="8" fillId="0" borderId="11" xfId="6" applyNumberFormat="1" applyFont="1" applyBorder="1"/>
    <xf numFmtId="0" fontId="44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3" fillId="6" borderId="37" xfId="0" applyFont="1" applyFill="1" applyBorder="1" applyAlignment="1" applyProtection="1">
      <alignment vertical="center"/>
    </xf>
    <xf numFmtId="0" fontId="23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5" fillId="0" borderId="38" xfId="0" applyFont="1" applyFill="1" applyBorder="1" applyAlignment="1" applyProtection="1">
      <alignment horizontal="left" vertical="center" wrapText="1" indent="2"/>
    </xf>
    <xf numFmtId="0" fontId="23" fillId="0" borderId="39" xfId="0" applyFont="1" applyFill="1" applyBorder="1" applyAlignment="1" applyProtection="1">
      <alignment vertical="center" wrapText="1"/>
    </xf>
    <xf numFmtId="0" fontId="25" fillId="0" borderId="38" xfId="0" applyFont="1" applyFill="1" applyBorder="1" applyAlignment="1" applyProtection="1">
      <alignment horizontal="left" vertical="center" wrapText="1" indent="1"/>
    </xf>
    <xf numFmtId="0" fontId="23" fillId="0" borderId="38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horizontal="left" vertical="center" indent="1"/>
    </xf>
    <xf numFmtId="0" fontId="23" fillId="0" borderId="39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vertical="center"/>
    </xf>
    <xf numFmtId="0" fontId="23" fillId="0" borderId="40" xfId="0" applyFont="1" applyFill="1" applyBorder="1" applyAlignment="1" applyProtection="1">
      <alignment vertical="center"/>
    </xf>
    <xf numFmtId="3" fontId="28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7" fillId="0" borderId="28" xfId="9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/>
    </xf>
    <xf numFmtId="43" fontId="17" fillId="0" borderId="23" xfId="9" applyFont="1" applyBorder="1" applyAlignment="1">
      <alignment horizontal="right" vertical="center" wrapText="1"/>
    </xf>
    <xf numFmtId="43" fontId="7" fillId="0" borderId="28" xfId="9" applyFont="1" applyBorder="1" applyAlignment="1">
      <alignment horizontal="right"/>
    </xf>
    <xf numFmtId="43" fontId="17" fillId="0" borderId="23" xfId="9" applyFont="1" applyBorder="1" applyAlignment="1">
      <alignment horizontal="right" vertical="center"/>
    </xf>
    <xf numFmtId="43" fontId="7" fillId="0" borderId="23" xfId="9" applyFont="1" applyBorder="1" applyAlignment="1">
      <alignment horizontal="right" vertical="center"/>
    </xf>
    <xf numFmtId="43" fontId="17" fillId="0" borderId="20" xfId="9" applyFont="1" applyBorder="1" applyAlignment="1">
      <alignment horizontal="right" vertical="center"/>
    </xf>
    <xf numFmtId="43" fontId="9" fillId="2" borderId="11" xfId="9" applyFont="1" applyFill="1" applyBorder="1"/>
    <xf numFmtId="2" fontId="9" fillId="2" borderId="11" xfId="9" applyNumberFormat="1" applyFont="1" applyFill="1" applyBorder="1"/>
    <xf numFmtId="0" fontId="45" fillId="0" borderId="0" xfId="0" applyFont="1"/>
    <xf numFmtId="4" fontId="45" fillId="0" borderId="0" xfId="0" applyNumberFormat="1" applyFont="1"/>
    <xf numFmtId="43" fontId="9" fillId="2" borderId="11" xfId="9" applyFont="1" applyFill="1" applyBorder="1" applyAlignment="1">
      <alignment horizontal="right"/>
    </xf>
    <xf numFmtId="0" fontId="19" fillId="0" borderId="0" xfId="11" applyFont="1" applyFill="1"/>
    <xf numFmtId="4" fontId="7" fillId="0" borderId="0" xfId="11" applyNumberFormat="1" applyFont="1" applyFill="1" applyBorder="1"/>
    <xf numFmtId="0" fontId="7" fillId="0" borderId="0" xfId="11" applyFont="1" applyFill="1" applyBorder="1"/>
    <xf numFmtId="0" fontId="7" fillId="0" borderId="0" xfId="11" applyFont="1" applyFill="1" applyAlignment="1">
      <alignment vertical="center"/>
    </xf>
    <xf numFmtId="4" fontId="20" fillId="0" borderId="28" xfId="5" applyNumberFormat="1" applyFont="1" applyFill="1" applyBorder="1" applyAlignment="1">
      <alignment horizontal="right" vertical="center"/>
    </xf>
    <xf numFmtId="4" fontId="8" fillId="0" borderId="11" xfId="6" applyNumberFormat="1" applyFont="1" applyFill="1" applyBorder="1"/>
    <xf numFmtId="4" fontId="18" fillId="0" borderId="28" xfId="11" applyNumberFormat="1" applyFont="1" applyFill="1" applyBorder="1" applyAlignment="1">
      <alignment horizontal="right" vertical="center"/>
    </xf>
    <xf numFmtId="4" fontId="18" fillId="0" borderId="28" xfId="10" applyNumberFormat="1" applyFont="1" applyFill="1" applyBorder="1" applyAlignment="1">
      <alignment horizontal="right" vertical="center"/>
    </xf>
    <xf numFmtId="4" fontId="18" fillId="0" borderId="0" xfId="6" applyNumberFormat="1" applyFont="1"/>
    <xf numFmtId="3" fontId="45" fillId="0" borderId="0" xfId="0" applyNumberFormat="1" applyFont="1"/>
    <xf numFmtId="4" fontId="19" fillId="0" borderId="0" xfId="10" applyNumberFormat="1" applyFont="1"/>
    <xf numFmtId="43" fontId="45" fillId="0" borderId="0" xfId="9" applyFont="1"/>
    <xf numFmtId="0" fontId="18" fillId="0" borderId="0" xfId="11" applyFont="1"/>
    <xf numFmtId="0" fontId="18" fillId="0" borderId="0" xfId="11" applyFont="1" applyBorder="1"/>
    <xf numFmtId="0" fontId="18" fillId="0" borderId="0" xfId="11" applyFont="1" applyFill="1"/>
    <xf numFmtId="0" fontId="18" fillId="0" borderId="0" xfId="11" applyFont="1" applyFill="1" applyBorder="1"/>
    <xf numFmtId="4" fontId="18" fillId="0" borderId="0" xfId="11" applyNumberFormat="1" applyFont="1" applyFill="1" applyBorder="1"/>
    <xf numFmtId="0" fontId="18" fillId="0" borderId="0" xfId="11" applyFont="1" applyFill="1" applyAlignment="1">
      <alignment vertical="center"/>
    </xf>
    <xf numFmtId="0" fontId="18" fillId="0" borderId="0" xfId="11" applyFont="1" applyAlignment="1">
      <alignment vertical="center"/>
    </xf>
    <xf numFmtId="4" fontId="18" fillId="0" borderId="0" xfId="11" applyNumberFormat="1" applyFont="1" applyAlignment="1">
      <alignment vertical="center"/>
    </xf>
    <xf numFmtId="0" fontId="16" fillId="0" borderId="0" xfId="11" applyFont="1" applyAlignment="1">
      <alignment vertical="center"/>
    </xf>
    <xf numFmtId="0" fontId="18" fillId="0" borderId="0" xfId="10" applyFont="1" applyAlignment="1">
      <alignment vertical="center"/>
    </xf>
    <xf numFmtId="4" fontId="18" fillId="0" borderId="0" xfId="10" applyNumberFormat="1" applyFont="1" applyAlignment="1">
      <alignment vertical="center"/>
    </xf>
    <xf numFmtId="43" fontId="18" fillId="0" borderId="0" xfId="10" applyNumberFormat="1" applyFont="1"/>
    <xf numFmtId="4" fontId="46" fillId="0" borderId="0" xfId="6" applyNumberFormat="1" applyFont="1"/>
    <xf numFmtId="4" fontId="47" fillId="0" borderId="0" xfId="0" applyNumberFormat="1" applyFont="1"/>
    <xf numFmtId="0" fontId="42" fillId="6" borderId="2" xfId="1" applyFont="1" applyFill="1" applyBorder="1" applyAlignment="1">
      <alignment vertical="center"/>
    </xf>
    <xf numFmtId="0" fontId="42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3" fillId="6" borderId="43" xfId="0" applyNumberFormat="1" applyFont="1" applyFill="1" applyBorder="1" applyAlignment="1" applyProtection="1">
      <alignment horizontal="center" vertical="center" wrapText="1"/>
    </xf>
    <xf numFmtId="3" fontId="28" fillId="0" borderId="44" xfId="0" applyNumberFormat="1" applyFont="1" applyFill="1" applyBorder="1" applyAlignment="1" applyProtection="1">
      <alignment horizontal="right" wrapText="1"/>
      <protection locked="0"/>
    </xf>
    <xf numFmtId="3" fontId="24" fillId="0" borderId="44" xfId="8" applyNumberFormat="1" applyFont="1" applyFill="1" applyBorder="1" applyAlignment="1" applyProtection="1">
      <alignment horizontal="right" wrapText="1"/>
      <protection locked="0"/>
    </xf>
    <xf numFmtId="3" fontId="24" fillId="0" borderId="44" xfId="0" applyNumberFormat="1" applyFont="1" applyFill="1" applyBorder="1" applyAlignment="1" applyProtection="1">
      <alignment horizontal="right" wrapText="1"/>
      <protection locked="0"/>
    </xf>
    <xf numFmtId="3" fontId="28" fillId="0" borderId="45" xfId="0" applyNumberFormat="1" applyFont="1" applyFill="1" applyBorder="1" applyAlignment="1" applyProtection="1">
      <alignment horizontal="right" wrapText="1"/>
      <protection locked="0"/>
    </xf>
    <xf numFmtId="3" fontId="23" fillId="6" borderId="43" xfId="0" applyNumberFormat="1" applyFont="1" applyFill="1" applyBorder="1" applyAlignment="1" applyProtection="1">
      <alignment horizontal="center" wrapText="1"/>
    </xf>
    <xf numFmtId="3" fontId="28" fillId="0" borderId="44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  <protection locked="0"/>
    </xf>
    <xf numFmtId="3" fontId="28" fillId="0" borderId="45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</xf>
    <xf numFmtId="3" fontId="28" fillId="0" borderId="46" xfId="0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 applyAlignment="1">
      <alignment vertical="center"/>
    </xf>
    <xf numFmtId="0" fontId="7" fillId="0" borderId="0" xfId="6" applyFont="1" applyBorder="1" applyAlignment="1">
      <alignment horizontal="left" vertical="center"/>
    </xf>
    <xf numFmtId="0" fontId="7" fillId="0" borderId="0" xfId="6" applyFont="1" applyBorder="1" applyAlignment="1">
      <alignment horizontal="left" vertical="center" wrapText="1"/>
    </xf>
    <xf numFmtId="1" fontId="7" fillId="0" borderId="28" xfId="3" applyNumberFormat="1" applyFont="1" applyBorder="1" applyAlignment="1">
      <alignment horizontal="right"/>
    </xf>
    <xf numFmtId="43" fontId="17" fillId="0" borderId="28" xfId="6" applyNumberFormat="1" applyFont="1" applyBorder="1" applyAlignment="1">
      <alignment horizontal="right" vertical="center"/>
    </xf>
    <xf numFmtId="1" fontId="7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7" fillId="0" borderId="0" xfId="9" applyFont="1" applyFill="1"/>
    <xf numFmtId="0" fontId="45" fillId="0" borderId="0" xfId="0" applyFont="1" applyFill="1"/>
    <xf numFmtId="4" fontId="2" fillId="0" borderId="28" xfId="1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6" borderId="2" xfId="3" applyFont="1" applyFill="1" applyBorder="1" applyAlignment="1">
      <alignment vertical="center"/>
    </xf>
    <xf numFmtId="0" fontId="14" fillId="6" borderId="3" xfId="3" applyFont="1" applyFill="1" applyBorder="1" applyAlignment="1">
      <alignment vertical="center"/>
    </xf>
    <xf numFmtId="0" fontId="14" fillId="6" borderId="7" xfId="3" applyFont="1" applyFill="1" applyBorder="1" applyAlignment="1">
      <alignment vertical="center"/>
    </xf>
    <xf numFmtId="0" fontId="14" fillId="6" borderId="8" xfId="3" applyFont="1" applyFill="1" applyBorder="1" applyAlignment="1">
      <alignment vertical="center"/>
    </xf>
    <xf numFmtId="0" fontId="14" fillId="6" borderId="1" xfId="3" applyFont="1" applyFill="1" applyBorder="1" applyAlignment="1">
      <alignment horizontal="right" vertical="top"/>
    </xf>
    <xf numFmtId="0" fontId="14" fillId="6" borderId="6" xfId="3" applyFont="1" applyFill="1" applyBorder="1" applyAlignment="1">
      <alignment horizontal="right" vertical="top"/>
    </xf>
    <xf numFmtId="0" fontId="14" fillId="4" borderId="7" xfId="1" applyNumberFormat="1" applyFont="1" applyFill="1" applyBorder="1" applyAlignment="1" applyProtection="1">
      <alignment horizontal="center"/>
      <protection locked="0"/>
    </xf>
    <xf numFmtId="0" fontId="14" fillId="6" borderId="7" xfId="2" applyNumberFormat="1" applyFont="1" applyFill="1" applyBorder="1" applyAlignment="1">
      <alignment horizontal="center" vertical="center"/>
    </xf>
    <xf numFmtId="0" fontId="14" fillId="6" borderId="8" xfId="2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justify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/>
    </xf>
    <xf numFmtId="0" fontId="43" fillId="0" borderId="23" xfId="0" applyFont="1" applyBorder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</xf>
    <xf numFmtId="2" fontId="23" fillId="6" borderId="16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2" fontId="23" fillId="6" borderId="23" xfId="0" applyNumberFormat="1" applyFont="1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42" xfId="0" applyFont="1" applyFill="1" applyBorder="1" applyAlignment="1" applyProtection="1">
      <alignment horizontal="center" vertical="center"/>
    </xf>
    <xf numFmtId="0" fontId="42" fillId="6" borderId="34" xfId="1" applyFont="1" applyFill="1" applyBorder="1" applyAlignment="1">
      <alignment horizontal="center" vertical="center"/>
    </xf>
    <xf numFmtId="0" fontId="42" fillId="6" borderId="2" xfId="1" applyFont="1" applyFill="1" applyBorder="1" applyAlignment="1">
      <alignment horizontal="center" vertical="center"/>
    </xf>
    <xf numFmtId="0" fontId="42" fillId="6" borderId="35" xfId="1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left" wrapText="1"/>
    </xf>
    <xf numFmtId="0" fontId="9" fillId="2" borderId="0" xfId="6" applyFill="1" applyBorder="1" applyAlignment="1">
      <alignment horizontal="left" wrapText="1"/>
    </xf>
    <xf numFmtId="0" fontId="6" fillId="2" borderId="0" xfId="6" applyFont="1" applyFill="1" applyBorder="1" applyAlignment="1">
      <alignment horizontal="left" wrapText="1"/>
    </xf>
    <xf numFmtId="0" fontId="17" fillId="0" borderId="0" xfId="6" applyFont="1" applyAlignment="1">
      <alignment horizontal="right"/>
    </xf>
    <xf numFmtId="0" fontId="17" fillId="7" borderId="14" xfId="6" applyFont="1" applyFill="1" applyBorder="1" applyAlignment="1">
      <alignment horizontal="center" vertical="center" wrapText="1"/>
    </xf>
    <xf numFmtId="3" fontId="17" fillId="7" borderId="14" xfId="6" applyNumberFormat="1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 applyAlignment="1">
      <alignment horizontal="center"/>
    </xf>
    <xf numFmtId="0" fontId="17" fillId="7" borderId="8" xfId="6" applyFont="1" applyFill="1" applyBorder="1" applyAlignment="1">
      <alignment horizontal="center"/>
    </xf>
    <xf numFmtId="2" fontId="17" fillId="7" borderId="4" xfId="6" applyNumberFormat="1" applyFont="1" applyFill="1" applyBorder="1" applyAlignment="1">
      <alignment horizontal="center"/>
    </xf>
    <xf numFmtId="0" fontId="17" fillId="7" borderId="0" xfId="6" applyFont="1" applyFill="1" applyBorder="1" applyAlignment="1">
      <alignment horizontal="center"/>
    </xf>
    <xf numFmtId="0" fontId="17" fillId="7" borderId="5" xfId="6" applyFont="1" applyFill="1" applyBorder="1" applyAlignment="1">
      <alignment horizontal="center"/>
    </xf>
    <xf numFmtId="0" fontId="17" fillId="7" borderId="4" xfId="6" applyFont="1" applyFill="1" applyBorder="1" applyAlignment="1">
      <alignment horizontal="center"/>
    </xf>
    <xf numFmtId="0" fontId="17" fillId="7" borderId="1" xfId="6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0" fontId="17" fillId="7" borderId="3" xfId="6" applyFont="1" applyFill="1" applyBorder="1" applyAlignment="1">
      <alignment horizontal="center"/>
    </xf>
    <xf numFmtId="165" fontId="20" fillId="7" borderId="1" xfId="5" applyNumberFormat="1" applyFont="1" applyFill="1" applyBorder="1" applyAlignment="1" applyProtection="1">
      <alignment horizontal="center"/>
    </xf>
    <xf numFmtId="165" fontId="20" fillId="7" borderId="2" xfId="5" applyNumberFormat="1" applyFont="1" applyFill="1" applyBorder="1" applyAlignment="1" applyProtection="1">
      <alignment horizontal="center"/>
    </xf>
    <xf numFmtId="165" fontId="20" fillId="7" borderId="3" xfId="5" applyNumberFormat="1" applyFont="1" applyFill="1" applyBorder="1" applyAlignment="1" applyProtection="1">
      <alignment horizontal="center"/>
    </xf>
    <xf numFmtId="165" fontId="20" fillId="7" borderId="4" xfId="5" applyNumberFormat="1" applyFont="1" applyFill="1" applyBorder="1" applyAlignment="1" applyProtection="1">
      <alignment horizontal="center"/>
      <protection locked="0"/>
    </xf>
    <xf numFmtId="165" fontId="20" fillId="7" borderId="0" xfId="5" applyNumberFormat="1" applyFont="1" applyFill="1" applyBorder="1" applyAlignment="1" applyProtection="1">
      <alignment horizontal="center"/>
      <protection locked="0"/>
    </xf>
    <xf numFmtId="165" fontId="20" fillId="7" borderId="5" xfId="5" applyNumberFormat="1" applyFont="1" applyFill="1" applyBorder="1" applyAlignment="1" applyProtection="1">
      <alignment horizontal="center"/>
      <protection locked="0"/>
    </xf>
    <xf numFmtId="165" fontId="20" fillId="7" borderId="4" xfId="5" applyNumberFormat="1" applyFont="1" applyFill="1" applyBorder="1" applyAlignment="1" applyProtection="1">
      <alignment horizontal="center"/>
    </xf>
    <xf numFmtId="165" fontId="20" fillId="7" borderId="0" xfId="5" applyNumberFormat="1" applyFont="1" applyFill="1" applyBorder="1" applyAlignment="1" applyProtection="1">
      <alignment horizontal="center"/>
    </xf>
    <xf numFmtId="165" fontId="20" fillId="7" borderId="5" xfId="5" applyNumberFormat="1" applyFont="1" applyFill="1" applyBorder="1" applyAlignment="1" applyProtection="1">
      <alignment horizontal="center"/>
    </xf>
    <xf numFmtId="165" fontId="20" fillId="7" borderId="6" xfId="5" applyNumberFormat="1" applyFont="1" applyFill="1" applyBorder="1" applyAlignment="1" applyProtection="1">
      <alignment horizontal="center"/>
    </xf>
    <xf numFmtId="165" fontId="20" fillId="7" borderId="7" xfId="5" applyNumberFormat="1" applyFont="1" applyFill="1" applyBorder="1" applyAlignment="1" applyProtection="1">
      <alignment horizontal="center"/>
    </xf>
    <xf numFmtId="165" fontId="20" fillId="7" borderId="8" xfId="5" applyNumberFormat="1" applyFont="1" applyFill="1" applyBorder="1" applyAlignment="1" applyProtection="1">
      <alignment horizontal="center"/>
    </xf>
    <xf numFmtId="0" fontId="20" fillId="7" borderId="1" xfId="5" applyFont="1" applyFill="1" applyBorder="1" applyAlignment="1">
      <alignment horizontal="center" vertical="center"/>
    </xf>
    <xf numFmtId="0" fontId="20" fillId="7" borderId="3" xfId="5" applyFont="1" applyFill="1" applyBorder="1" applyAlignment="1">
      <alignment horizontal="center" vertical="center"/>
    </xf>
    <xf numFmtId="0" fontId="20" fillId="7" borderId="4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20" fillId="7" borderId="8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0" xfId="5" applyFont="1" applyFill="1" applyBorder="1" applyAlignment="1">
      <alignment horizontal="center" vertical="center"/>
    </xf>
    <xf numFmtId="0" fontId="20" fillId="7" borderId="24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30" xfId="5" applyFont="1" applyFill="1" applyBorder="1" applyAlignment="1">
      <alignment horizontal="center" vertical="center"/>
    </xf>
    <xf numFmtId="165" fontId="20" fillId="7" borderId="21" xfId="5" applyNumberFormat="1" applyFont="1" applyFill="1" applyBorder="1" applyAlignment="1" applyProtection="1">
      <alignment horizontal="center"/>
    </xf>
    <xf numFmtId="165" fontId="20" fillId="7" borderId="29" xfId="5" applyNumberFormat="1" applyFont="1" applyFill="1" applyBorder="1" applyAlignment="1" applyProtection="1">
      <alignment horizontal="center"/>
    </xf>
    <xf numFmtId="165" fontId="20" fillId="7" borderId="22" xfId="5" applyNumberFormat="1" applyFont="1" applyFill="1" applyBorder="1" applyAlignment="1" applyProtection="1">
      <alignment horizontal="center"/>
    </xf>
    <xf numFmtId="165" fontId="20" fillId="7" borderId="16" xfId="5" applyNumberFormat="1" applyFont="1" applyFill="1" applyBorder="1" applyAlignment="1" applyProtection="1">
      <alignment horizontal="center"/>
      <protection locked="0"/>
    </xf>
    <xf numFmtId="165" fontId="20" fillId="7" borderId="23" xfId="5" applyNumberFormat="1" applyFont="1" applyFill="1" applyBorder="1" applyAlignment="1" applyProtection="1">
      <alignment horizontal="center"/>
      <protection locked="0"/>
    </xf>
    <xf numFmtId="165" fontId="20" fillId="7" borderId="16" xfId="5" applyNumberFormat="1" applyFont="1" applyFill="1" applyBorder="1" applyAlignment="1" applyProtection="1">
      <alignment horizontal="center"/>
    </xf>
    <xf numFmtId="165" fontId="20" fillId="7" borderId="23" xfId="5" applyNumberFormat="1" applyFont="1" applyFill="1" applyBorder="1" applyAlignment="1" applyProtection="1">
      <alignment horizontal="center"/>
    </xf>
    <xf numFmtId="165" fontId="20" fillId="7" borderId="25" xfId="5" applyNumberFormat="1" applyFont="1" applyFill="1" applyBorder="1" applyAlignment="1" applyProtection="1">
      <alignment horizontal="center"/>
    </xf>
    <xf numFmtId="165" fontId="20" fillId="7" borderId="17" xfId="5" applyNumberFormat="1" applyFont="1" applyFill="1" applyBorder="1" applyAlignment="1" applyProtection="1">
      <alignment horizontal="center"/>
    </xf>
    <xf numFmtId="165" fontId="20" fillId="7" borderId="26" xfId="5" applyNumberFormat="1" applyFont="1" applyFill="1" applyBorder="1" applyAlignment="1" applyProtection="1">
      <alignment horizontal="center"/>
    </xf>
    <xf numFmtId="0" fontId="17" fillId="0" borderId="21" xfId="6" applyFont="1" applyBorder="1" applyAlignment="1">
      <alignment horizontal="justify" vertical="center" wrapText="1"/>
    </xf>
    <xf numFmtId="0" fontId="17" fillId="0" borderId="31" xfId="6" applyFont="1" applyBorder="1" applyAlignment="1">
      <alignment horizontal="justify" vertical="center" wrapText="1"/>
    </xf>
    <xf numFmtId="0" fontId="20" fillId="7" borderId="21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31" xfId="6" applyFont="1" applyFill="1" applyBorder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/>
    </xf>
    <xf numFmtId="0" fontId="20" fillId="7" borderId="32" xfId="6" applyFont="1" applyFill="1" applyBorder="1" applyAlignment="1">
      <alignment horizontal="center" vertical="center"/>
    </xf>
    <xf numFmtId="0" fontId="20" fillId="7" borderId="25" xfId="6" applyFont="1" applyFill="1" applyBorder="1" applyAlignment="1">
      <alignment horizontal="center" vertical="center"/>
    </xf>
    <xf numFmtId="0" fontId="20" fillId="7" borderId="17" xfId="6" applyFont="1" applyFill="1" applyBorder="1" applyAlignment="1">
      <alignment horizontal="center" vertical="center"/>
    </xf>
    <xf numFmtId="0" fontId="20" fillId="7" borderId="33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/>
    </xf>
    <xf numFmtId="0" fontId="20" fillId="7" borderId="26" xfId="6" applyFont="1" applyFill="1" applyBorder="1" applyAlignment="1">
      <alignment horizontal="center" vertical="center"/>
    </xf>
    <xf numFmtId="0" fontId="20" fillId="7" borderId="18" xfId="6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20" fillId="7" borderId="24" xfId="6" applyFont="1" applyFill="1" applyBorder="1" applyAlignment="1">
      <alignment horizontal="center" vertical="center" wrapText="1"/>
    </xf>
    <xf numFmtId="0" fontId="20" fillId="7" borderId="27" xfId="6" applyFont="1" applyFill="1" applyBorder="1" applyAlignment="1">
      <alignment horizontal="center" vertical="center" wrapText="1"/>
    </xf>
    <xf numFmtId="0" fontId="33" fillId="7" borderId="24" xfId="6" applyFont="1" applyFill="1" applyBorder="1" applyAlignment="1">
      <alignment horizontal="center" vertical="center"/>
    </xf>
    <xf numFmtId="0" fontId="33" fillId="7" borderId="27" xfId="6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/>
    </xf>
    <xf numFmtId="0" fontId="33" fillId="7" borderId="21" xfId="6" applyFont="1" applyFill="1" applyBorder="1" applyAlignment="1">
      <alignment horizontal="center" vertical="center"/>
    </xf>
    <xf numFmtId="0" fontId="33" fillId="7" borderId="29" xfId="6" applyFont="1" applyFill="1" applyBorder="1" applyAlignment="1">
      <alignment horizontal="center" vertical="center"/>
    </xf>
    <xf numFmtId="0" fontId="33" fillId="7" borderId="22" xfId="6" applyFont="1" applyFill="1" applyBorder="1" applyAlignment="1">
      <alignment horizontal="center" vertical="center"/>
    </xf>
    <xf numFmtId="0" fontId="33" fillId="7" borderId="16" xfId="6" applyFont="1" applyFill="1" applyBorder="1" applyAlignment="1">
      <alignment horizontal="center" vertical="center"/>
    </xf>
    <xf numFmtId="0" fontId="33" fillId="7" borderId="0" xfId="6" applyFont="1" applyFill="1" applyBorder="1" applyAlignment="1">
      <alignment horizontal="center" vertical="center"/>
    </xf>
    <xf numFmtId="0" fontId="33" fillId="7" borderId="23" xfId="6" applyFont="1" applyFill="1" applyBorder="1" applyAlignment="1">
      <alignment horizontal="center" vertical="center"/>
    </xf>
    <xf numFmtId="0" fontId="33" fillId="7" borderId="25" xfId="6" applyFont="1" applyFill="1" applyBorder="1" applyAlignment="1">
      <alignment horizontal="center" vertical="center"/>
    </xf>
    <xf numFmtId="0" fontId="33" fillId="7" borderId="17" xfId="6" applyFont="1" applyFill="1" applyBorder="1" applyAlignment="1">
      <alignment horizontal="center" vertical="center"/>
    </xf>
    <xf numFmtId="0" fontId="33" fillId="7" borderId="26" xfId="6" applyFont="1" applyFill="1" applyBorder="1" applyAlignment="1">
      <alignment horizontal="center" vertical="center"/>
    </xf>
    <xf numFmtId="4" fontId="8" fillId="2" borderId="11" xfId="7" applyNumberFormat="1" applyFont="1" applyFill="1" applyBorder="1"/>
    <xf numFmtId="4" fontId="17" fillId="2" borderId="10" xfId="7" applyNumberFormat="1" applyFont="1" applyFill="1" applyBorder="1"/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B7" zoomScaleNormal="100" workbookViewId="0">
      <selection activeCell="L78" sqref="L78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78" t="s">
        <v>522</v>
      </c>
      <c r="F1" s="378"/>
      <c r="G1" s="378"/>
      <c r="H1" s="378"/>
      <c r="I1" s="378"/>
      <c r="J1" s="378"/>
      <c r="K1" s="378"/>
      <c r="L1" s="378"/>
      <c r="M1" s="379"/>
    </row>
    <row r="2" spans="1:13" ht="13.9" customHeight="1">
      <c r="A2" s="98"/>
      <c r="B2" s="166"/>
      <c r="C2" s="167"/>
      <c r="D2" s="167"/>
      <c r="E2" s="376" t="s">
        <v>127</v>
      </c>
      <c r="F2" s="376"/>
      <c r="G2" s="376"/>
      <c r="H2" s="376"/>
      <c r="I2" s="376"/>
      <c r="J2" s="376"/>
      <c r="K2" s="376"/>
      <c r="L2" s="376"/>
      <c r="M2" s="377"/>
    </row>
    <row r="3" spans="1:13" ht="13.9" customHeight="1">
      <c r="A3" s="98"/>
      <c r="B3" s="166"/>
      <c r="C3" s="168"/>
      <c r="D3" s="168"/>
      <c r="E3" s="376" t="s">
        <v>540</v>
      </c>
      <c r="F3" s="376"/>
      <c r="G3" s="376"/>
      <c r="H3" s="376"/>
      <c r="I3" s="376"/>
      <c r="J3" s="376"/>
      <c r="K3" s="376"/>
      <c r="L3" s="376"/>
      <c r="M3" s="377"/>
    </row>
    <row r="4" spans="1:13" ht="14.25" customHeight="1">
      <c r="A4" s="99"/>
      <c r="B4" s="169"/>
      <c r="C4" s="170"/>
      <c r="D4" s="170"/>
      <c r="E4" s="387" t="s">
        <v>4</v>
      </c>
      <c r="F4" s="387"/>
      <c r="G4" s="387"/>
      <c r="H4" s="387"/>
      <c r="I4" s="387"/>
      <c r="J4" s="387"/>
      <c r="K4" s="387"/>
      <c r="L4" s="387"/>
      <c r="M4" s="388"/>
    </row>
    <row r="5" spans="1:13" ht="13.9" hidden="1" customHeight="1">
      <c r="B5" s="95"/>
      <c r="C5" s="96"/>
      <c r="D5" s="96" t="s">
        <v>5</v>
      </c>
      <c r="E5" s="386" t="s">
        <v>4</v>
      </c>
      <c r="F5" s="386"/>
      <c r="G5" s="386"/>
      <c r="H5" s="386"/>
      <c r="I5" s="386"/>
      <c r="J5" s="386"/>
      <c r="K5" s="386"/>
      <c r="L5" s="386"/>
      <c r="M5" s="386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0" t="s">
        <v>128</v>
      </c>
      <c r="D7" s="380"/>
      <c r="E7" s="381"/>
      <c r="F7" s="374" t="s">
        <v>541</v>
      </c>
      <c r="G7" s="374" t="s">
        <v>534</v>
      </c>
      <c r="H7" s="384"/>
      <c r="I7" s="380" t="s">
        <v>128</v>
      </c>
      <c r="J7" s="380"/>
      <c r="K7" s="381"/>
      <c r="L7" s="374" t="s">
        <v>541</v>
      </c>
      <c r="M7" s="374" t="s">
        <v>534</v>
      </c>
    </row>
    <row r="8" spans="1:13" s="19" customFormat="1" ht="15" customHeight="1">
      <c r="A8" s="42"/>
      <c r="B8" s="171"/>
      <c r="C8" s="382"/>
      <c r="D8" s="382"/>
      <c r="E8" s="383"/>
      <c r="F8" s="375"/>
      <c r="G8" s="375"/>
      <c r="H8" s="385"/>
      <c r="I8" s="382"/>
      <c r="J8" s="382"/>
      <c r="K8" s="383"/>
      <c r="L8" s="375"/>
      <c r="M8" s="375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370</v>
      </c>
      <c r="D11" s="7"/>
      <c r="E11" s="23"/>
      <c r="F11" s="192">
        <f>SUM(F12:F18)</f>
        <v>6621608.21</v>
      </c>
      <c r="G11" s="192">
        <v>4190644.18</v>
      </c>
      <c r="H11" s="35"/>
      <c r="I11" s="9" t="s">
        <v>379</v>
      </c>
      <c r="J11" s="7"/>
      <c r="K11" s="7"/>
      <c r="L11" s="192">
        <f>SUM(L12:L20)</f>
        <v>96110.06</v>
      </c>
      <c r="M11" s="192">
        <v>323927.17000000004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>
        <v>0</v>
      </c>
      <c r="H12" s="35"/>
      <c r="I12" s="10" t="s">
        <v>6</v>
      </c>
      <c r="J12" s="7" t="s">
        <v>130</v>
      </c>
      <c r="K12" s="7"/>
      <c r="L12" s="191">
        <v>-43861.72</v>
      </c>
      <c r="M12" s="191"/>
    </row>
    <row r="13" spans="1:13">
      <c r="B13" s="14"/>
      <c r="C13" s="10" t="s">
        <v>7</v>
      </c>
      <c r="D13" s="7" t="s">
        <v>2</v>
      </c>
      <c r="E13" s="23"/>
      <c r="F13" s="191">
        <v>6619108.21</v>
      </c>
      <c r="G13" s="191">
        <v>4190644.18</v>
      </c>
      <c r="H13" s="35"/>
      <c r="I13" s="10" t="s">
        <v>7</v>
      </c>
      <c r="J13" s="7" t="s">
        <v>0</v>
      </c>
      <c r="K13" s="7"/>
      <c r="L13" s="191">
        <v>0.6</v>
      </c>
      <c r="M13" s="191">
        <v>61552.72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138483.84</v>
      </c>
      <c r="M18" s="191">
        <v>259874.45</v>
      </c>
    </row>
    <row r="19" spans="1:13">
      <c r="B19" s="14"/>
      <c r="C19" s="9" t="s">
        <v>371</v>
      </c>
      <c r="D19" s="7"/>
      <c r="E19" s="23"/>
      <c r="F19" s="192">
        <f>SUM(F20:F26)</f>
        <v>8204.26</v>
      </c>
      <c r="G19" s="192">
        <v>6203.23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1487.34</v>
      </c>
      <c r="M20" s="191">
        <v>2500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380</v>
      </c>
      <c r="J21" s="7"/>
      <c r="K21" s="7"/>
      <c r="L21" s="192">
        <f>SUM(L22:L24)</f>
        <v>0</v>
      </c>
      <c r="M21" s="192">
        <v>0</v>
      </c>
    </row>
    <row r="22" spans="1:13">
      <c r="B22" s="14"/>
      <c r="C22" s="10" t="s">
        <v>15</v>
      </c>
      <c r="D22" s="7" t="s">
        <v>48</v>
      </c>
      <c r="E22" s="23"/>
      <c r="F22" s="191">
        <v>4501.03</v>
      </c>
      <c r="G22" s="191">
        <v>2500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381</v>
      </c>
      <c r="J25" s="7"/>
      <c r="K25" s="7"/>
      <c r="L25" s="192">
        <f>SUM(L26:L27)</f>
        <v>0</v>
      </c>
      <c r="M25" s="192"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372</v>
      </c>
      <c r="D27" s="7"/>
      <c r="E27" s="23"/>
      <c r="F27" s="192">
        <f>SUM(F28:F32)</f>
        <v>62294</v>
      </c>
      <c r="G27" s="192">
        <v>62294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/>
      <c r="G28" s="191"/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382</v>
      </c>
      <c r="J29" s="9"/>
      <c r="K29" s="9"/>
      <c r="L29" s="192">
        <f>SUM(L30:L32)</f>
        <v>0</v>
      </c>
      <c r="M29" s="192"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373</v>
      </c>
      <c r="D33" s="7"/>
      <c r="E33" s="23"/>
      <c r="F33" s="192">
        <f>SUM(F34:F38)</f>
        <v>0</v>
      </c>
      <c r="G33" s="192">
        <v>0</v>
      </c>
      <c r="H33" s="35"/>
      <c r="I33" s="9" t="s">
        <v>383</v>
      </c>
      <c r="J33" s="7"/>
      <c r="K33" s="7"/>
      <c r="L33" s="192">
        <f>SUM(L34:L39)</f>
        <v>0</v>
      </c>
      <c r="M33" s="192"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374</v>
      </c>
      <c r="D40" s="7"/>
      <c r="E40" s="23"/>
      <c r="F40" s="192">
        <f>SUM(F41:F42)</f>
        <v>0</v>
      </c>
      <c r="G40" s="192">
        <v>0</v>
      </c>
      <c r="H40" s="35"/>
      <c r="I40" s="9" t="s">
        <v>384</v>
      </c>
      <c r="J40" s="7"/>
      <c r="K40" s="7"/>
      <c r="L40" s="192">
        <f>SUM(L41:L43)</f>
        <v>0</v>
      </c>
      <c r="M40" s="192"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375</v>
      </c>
      <c r="D43" s="7"/>
      <c r="E43" s="23"/>
      <c r="F43" s="192">
        <f>SUM(F44:F47)</f>
        <v>0</v>
      </c>
      <c r="G43" s="192"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385</v>
      </c>
      <c r="J44" s="7"/>
      <c r="K44" s="7"/>
      <c r="L44" s="192">
        <f>SUM(L45:L47)</f>
        <v>0</v>
      </c>
      <c r="M44" s="192"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386</v>
      </c>
      <c r="J48" s="9"/>
      <c r="K48" s="7"/>
      <c r="L48" s="192">
        <f>+L11+L21+L25+L28+L29+L33+L40+L44</f>
        <v>96110.06</v>
      </c>
      <c r="M48" s="192">
        <v>323927.17000000004</v>
      </c>
    </row>
    <row r="49" spans="2:13">
      <c r="B49" s="14"/>
      <c r="C49" s="11" t="s">
        <v>376</v>
      </c>
      <c r="D49" s="11"/>
      <c r="E49" s="24"/>
      <c r="F49" s="192">
        <f>+F11+F19+F27+F33+F39+F40+F43</f>
        <v>6692106.4699999997</v>
      </c>
      <c r="G49" s="192">
        <v>4259141.41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50746723.840000004</v>
      </c>
      <c r="G54" s="191">
        <v>50746723.840000004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25129500.82</v>
      </c>
      <c r="G55" s="191">
        <v>22431983.140000001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1387240.83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-31279625.719999999</v>
      </c>
      <c r="G57" s="191">
        <v>-29018533.870000001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387</v>
      </c>
      <c r="J58" s="7"/>
      <c r="K58" s="9"/>
      <c r="L58" s="192">
        <f>SUM(L51:L56)</f>
        <v>0</v>
      </c>
      <c r="M58" s="192"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/>
      <c r="H60" s="35"/>
      <c r="I60" s="12" t="s">
        <v>388</v>
      </c>
      <c r="J60" s="12"/>
      <c r="K60" s="12"/>
      <c r="L60" s="192">
        <f>+L48+L58</f>
        <v>96110.06</v>
      </c>
      <c r="M60" s="192">
        <v>323927.17000000004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377</v>
      </c>
      <c r="D62" s="7"/>
      <c r="E62" s="23"/>
      <c r="F62" s="192">
        <f>SUM(F52:F60)</f>
        <v>45983839.769999996</v>
      </c>
      <c r="G62" s="192">
        <v>45547413.939999998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378</v>
      </c>
      <c r="D64" s="12"/>
      <c r="E64" s="25"/>
      <c r="F64" s="192">
        <f>+F49+F62</f>
        <v>52675946.239999995</v>
      </c>
      <c r="G64" s="192">
        <v>49806555.349999994</v>
      </c>
      <c r="H64" s="35"/>
      <c r="I64" s="9" t="s">
        <v>389</v>
      </c>
      <c r="J64" s="7"/>
      <c r="K64" s="7"/>
      <c r="L64" s="192">
        <f>SUM(L65:L67)</f>
        <v>74623117.230000004</v>
      </c>
      <c r="M64" s="192">
        <v>71960193.549999997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74623117.230000004</v>
      </c>
      <c r="M67" s="191">
        <v>71960193.549999997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390</v>
      </c>
      <c r="J68" s="7"/>
      <c r="K68" s="7"/>
      <c r="L68" s="192">
        <f>SUM(L69:L73)</f>
        <v>-22043281.050000001</v>
      </c>
      <c r="M68" s="192">
        <v>-22477565.370000001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1143699</v>
      </c>
      <c r="M69" s="191">
        <v>-3016954.87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-26711316.800000001</v>
      </c>
      <c r="M70" s="191">
        <v>-22918378.879999999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3524336.75</v>
      </c>
      <c r="M72" s="191">
        <v>3457768.38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391</v>
      </c>
      <c r="J74" s="3"/>
      <c r="K74" s="3"/>
      <c r="L74" s="192">
        <f>SUM(L75:L76)</f>
        <v>0</v>
      </c>
      <c r="M74" s="192"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392</v>
      </c>
      <c r="J77" s="7"/>
      <c r="K77" s="7"/>
      <c r="L77" s="192">
        <f>+L64+L68+L74</f>
        <v>52579836.180000007</v>
      </c>
      <c r="M77" s="192">
        <v>49482628.179999992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393</v>
      </c>
      <c r="J78" s="7"/>
      <c r="K78" s="7"/>
      <c r="L78" s="192">
        <f>+L60+L77</f>
        <v>52675946.24000001</v>
      </c>
      <c r="M78" s="192">
        <v>49806555.349999994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519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3"/>
      <c r="J91" s="373"/>
      <c r="K91" s="373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1"/>
  <sheetViews>
    <sheetView zoomScaleNormal="100" workbookViewId="0">
      <selection activeCell="F6" sqref="F6:F7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394</v>
      </c>
      <c r="C1" s="389" t="s">
        <v>395</v>
      </c>
      <c r="D1" s="389"/>
      <c r="E1" s="389"/>
      <c r="F1" s="389"/>
      <c r="G1" s="389"/>
      <c r="H1" s="389"/>
      <c r="I1" s="389"/>
      <c r="J1" s="389"/>
    </row>
    <row r="2" spans="2:13" ht="15.75" thickBot="1">
      <c r="B2" s="390" t="s">
        <v>522</v>
      </c>
      <c r="C2" s="391"/>
      <c r="D2" s="391"/>
      <c r="E2" s="391"/>
      <c r="F2" s="391"/>
      <c r="G2" s="391"/>
      <c r="H2" s="391"/>
      <c r="I2" s="391"/>
      <c r="J2" s="392"/>
    </row>
    <row r="3" spans="2:13" ht="15.75" thickBot="1">
      <c r="B3" s="393" t="s">
        <v>395</v>
      </c>
      <c r="C3" s="394"/>
      <c r="D3" s="394"/>
      <c r="E3" s="394"/>
      <c r="F3" s="394"/>
      <c r="G3" s="394"/>
      <c r="H3" s="394"/>
      <c r="I3" s="394"/>
      <c r="J3" s="395"/>
    </row>
    <row r="4" spans="2:13" ht="15.75" thickBot="1">
      <c r="B4" s="393" t="s">
        <v>542</v>
      </c>
      <c r="C4" s="394"/>
      <c r="D4" s="394"/>
      <c r="E4" s="394"/>
      <c r="F4" s="394"/>
      <c r="G4" s="394"/>
      <c r="H4" s="394"/>
      <c r="I4" s="394"/>
      <c r="J4" s="395"/>
    </row>
    <row r="5" spans="2:13" ht="15.75" thickBot="1">
      <c r="B5" s="393" t="s">
        <v>328</v>
      </c>
      <c r="C5" s="394"/>
      <c r="D5" s="394"/>
      <c r="E5" s="394"/>
      <c r="F5" s="394"/>
      <c r="G5" s="394"/>
      <c r="H5" s="394"/>
      <c r="I5" s="394"/>
      <c r="J5" s="395"/>
    </row>
    <row r="6" spans="2:13" ht="45">
      <c r="B6" s="402" t="s">
        <v>396</v>
      </c>
      <c r="C6" s="403"/>
      <c r="D6" s="396" t="s">
        <v>536</v>
      </c>
      <c r="E6" s="396" t="s">
        <v>397</v>
      </c>
      <c r="F6" s="396" t="s">
        <v>398</v>
      </c>
      <c r="G6" s="396" t="s">
        <v>399</v>
      </c>
      <c r="H6" s="197" t="s">
        <v>400</v>
      </c>
      <c r="I6" s="396" t="s">
        <v>401</v>
      </c>
      <c r="J6" s="396" t="s">
        <v>402</v>
      </c>
    </row>
    <row r="7" spans="2:13" ht="15.75" thickBot="1">
      <c r="B7" s="404"/>
      <c r="C7" s="405"/>
      <c r="D7" s="397"/>
      <c r="E7" s="397"/>
      <c r="F7" s="397"/>
      <c r="G7" s="397"/>
      <c r="H7" s="198" t="s">
        <v>403</v>
      </c>
      <c r="I7" s="397"/>
      <c r="J7" s="397"/>
    </row>
    <row r="8" spans="2:13">
      <c r="B8" s="398"/>
      <c r="C8" s="399"/>
      <c r="D8" s="199"/>
      <c r="E8" s="199"/>
      <c r="F8" s="199"/>
      <c r="G8" s="199"/>
      <c r="H8" s="199"/>
      <c r="I8" s="199"/>
      <c r="J8" s="199"/>
    </row>
    <row r="9" spans="2:13">
      <c r="B9" s="400" t="s">
        <v>404</v>
      </c>
      <c r="C9" s="401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400" t="s">
        <v>405</v>
      </c>
      <c r="C10" s="401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406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407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408</v>
      </c>
      <c r="D13" s="208"/>
      <c r="E13" s="208"/>
      <c r="F13" s="208"/>
      <c r="G13" s="208"/>
      <c r="H13" s="208"/>
      <c r="I13" s="208"/>
      <c r="J13" s="209"/>
    </row>
    <row r="14" spans="2:13">
      <c r="B14" s="400" t="s">
        <v>409</v>
      </c>
      <c r="C14" s="401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410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512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513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514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411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412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400" t="s">
        <v>413</v>
      </c>
      <c r="C21" s="401"/>
      <c r="D21" s="248">
        <f>'F1. ESF'!M11</f>
        <v>323927.17000000004</v>
      </c>
      <c r="E21" s="200"/>
      <c r="F21" s="200"/>
      <c r="G21" s="200"/>
      <c r="H21" s="248">
        <f>'F1. ESF'!L48</f>
        <v>96110.06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400" t="s">
        <v>414</v>
      </c>
      <c r="C25" s="401"/>
      <c r="D25" s="248">
        <f>+D9+D21</f>
        <v>323927.17000000004</v>
      </c>
      <c r="E25" s="200"/>
      <c r="F25" s="200"/>
      <c r="G25" s="200">
        <f>+G9+G21</f>
        <v>0</v>
      </c>
      <c r="H25" s="248">
        <f>+H9+H21</f>
        <v>96110.06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400"/>
      <c r="C26" s="401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400" t="s">
        <v>523</v>
      </c>
      <c r="C27" s="401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14"/>
      <c r="C28" s="415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16" t="s">
        <v>415</v>
      </c>
      <c r="C29" s="417"/>
      <c r="D29" s="229"/>
      <c r="E29" s="229"/>
      <c r="F29" s="229"/>
      <c r="G29" s="229"/>
      <c r="H29" s="229"/>
      <c r="I29" s="229"/>
      <c r="J29" s="230"/>
    </row>
    <row r="30" spans="2:13" ht="15.75" thickBot="1">
      <c r="B30" s="412"/>
      <c r="C30" s="413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407" t="s">
        <v>416</v>
      </c>
      <c r="C31" s="407"/>
      <c r="D31" s="407"/>
      <c r="E31" s="407"/>
      <c r="F31" s="407"/>
      <c r="G31" s="407"/>
      <c r="H31" s="407"/>
      <c r="I31" s="407"/>
      <c r="J31" s="407"/>
    </row>
    <row r="32" spans="2:13" ht="22.5" customHeight="1" thickBot="1">
      <c r="B32" s="408" t="s">
        <v>417</v>
      </c>
      <c r="C32" s="408"/>
      <c r="D32" s="408"/>
      <c r="E32" s="408"/>
      <c r="F32" s="408"/>
      <c r="G32" s="408"/>
      <c r="H32" s="408"/>
      <c r="I32" s="408"/>
      <c r="J32" s="408"/>
    </row>
    <row r="33" spans="2:14" ht="30">
      <c r="B33" s="409" t="s">
        <v>418</v>
      </c>
      <c r="C33" s="233" t="s">
        <v>419</v>
      </c>
      <c r="D33" s="233" t="s">
        <v>420</v>
      </c>
      <c r="E33" s="233" t="s">
        <v>421</v>
      </c>
      <c r="F33" s="409" t="s">
        <v>422</v>
      </c>
      <c r="G33" s="233" t="s">
        <v>423</v>
      </c>
    </row>
    <row r="34" spans="2:14">
      <c r="B34" s="410"/>
      <c r="C34" s="234" t="s">
        <v>424</v>
      </c>
      <c r="D34" s="234" t="s">
        <v>425</v>
      </c>
      <c r="E34" s="234" t="s">
        <v>426</v>
      </c>
      <c r="F34" s="410"/>
      <c r="G34" s="234" t="s">
        <v>427</v>
      </c>
    </row>
    <row r="35" spans="2:14" ht="15.75" thickBot="1">
      <c r="B35" s="411"/>
      <c r="C35" s="235"/>
      <c r="D35" s="236" t="s">
        <v>428</v>
      </c>
      <c r="E35" s="235"/>
      <c r="F35" s="411"/>
      <c r="G35" s="235"/>
    </row>
    <row r="36" spans="2:14" ht="45">
      <c r="B36" s="237" t="s">
        <v>429</v>
      </c>
      <c r="C36" s="238"/>
      <c r="D36" s="238"/>
      <c r="E36" s="238"/>
      <c r="F36" s="238"/>
      <c r="G36" s="238"/>
      <c r="L36" s="284"/>
    </row>
    <row r="37" spans="2:14">
      <c r="B37" s="239" t="s">
        <v>515</v>
      </c>
      <c r="C37" s="240"/>
      <c r="D37" s="241"/>
      <c r="E37" s="242"/>
      <c r="F37" s="241"/>
      <c r="G37" s="242"/>
    </row>
    <row r="38" spans="2:14">
      <c r="B38" s="239" t="s">
        <v>430</v>
      </c>
      <c r="C38" s="239"/>
      <c r="D38" s="239"/>
      <c r="E38" s="239"/>
      <c r="F38" s="239"/>
      <c r="G38" s="239"/>
    </row>
    <row r="39" spans="2:14" ht="15.75" thickBot="1">
      <c r="B39" s="243" t="s">
        <v>431</v>
      </c>
      <c r="C39" s="243"/>
      <c r="D39" s="243"/>
      <c r="E39" s="243"/>
      <c r="F39" s="243"/>
      <c r="G39" s="243"/>
    </row>
    <row r="40" spans="2:14" ht="49.5" customHeight="1">
      <c r="B40" s="406" t="s">
        <v>363</v>
      </c>
      <c r="C40" s="406"/>
      <c r="D40" s="406"/>
      <c r="E40" s="406"/>
      <c r="F40" s="406"/>
      <c r="G40" s="406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B6" sqref="B6:L6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432</v>
      </c>
      <c r="C1" s="418" t="s">
        <v>433</v>
      </c>
      <c r="D1" s="418"/>
      <c r="E1" s="418"/>
      <c r="F1" s="418"/>
      <c r="G1" s="418"/>
      <c r="H1" s="418"/>
      <c r="I1" s="418"/>
      <c r="J1" s="418"/>
      <c r="K1" s="418"/>
      <c r="L1" s="418"/>
    </row>
    <row r="2" spans="2:12" ht="15.75" thickBot="1">
      <c r="B2" s="195"/>
    </row>
    <row r="3" spans="2:12" ht="15.75" thickBot="1">
      <c r="B3" s="390" t="s">
        <v>522</v>
      </c>
      <c r="C3" s="391"/>
      <c r="D3" s="391"/>
      <c r="E3" s="391"/>
      <c r="F3" s="391"/>
      <c r="G3" s="391"/>
      <c r="H3" s="391"/>
      <c r="I3" s="391"/>
      <c r="J3" s="391"/>
      <c r="K3" s="391"/>
      <c r="L3" s="392"/>
    </row>
    <row r="4" spans="2:12" ht="15.75" thickBot="1">
      <c r="B4" s="393" t="s">
        <v>434</v>
      </c>
      <c r="C4" s="394"/>
      <c r="D4" s="394"/>
      <c r="E4" s="394"/>
      <c r="F4" s="394"/>
      <c r="G4" s="394"/>
      <c r="H4" s="394"/>
      <c r="I4" s="394"/>
      <c r="J4" s="394"/>
      <c r="K4" s="394"/>
      <c r="L4" s="395"/>
    </row>
    <row r="5" spans="2:12" ht="15.75" thickBot="1">
      <c r="B5" s="393" t="s">
        <v>543</v>
      </c>
      <c r="C5" s="394"/>
      <c r="D5" s="394"/>
      <c r="E5" s="394"/>
      <c r="F5" s="394"/>
      <c r="G5" s="394"/>
      <c r="H5" s="394"/>
      <c r="I5" s="394"/>
      <c r="J5" s="394"/>
      <c r="K5" s="394"/>
      <c r="L5" s="395"/>
    </row>
    <row r="6" spans="2:12" ht="15.75" thickBot="1">
      <c r="B6" s="393" t="s">
        <v>328</v>
      </c>
      <c r="C6" s="394"/>
      <c r="D6" s="394"/>
      <c r="E6" s="394"/>
      <c r="F6" s="394"/>
      <c r="G6" s="394"/>
      <c r="H6" s="394"/>
      <c r="I6" s="394"/>
      <c r="J6" s="394"/>
      <c r="K6" s="394"/>
      <c r="L6" s="395"/>
    </row>
    <row r="7" spans="2:12" ht="74.25" customHeight="1" thickBot="1">
      <c r="B7" s="249" t="s">
        <v>435</v>
      </c>
      <c r="C7" s="198" t="s">
        <v>436</v>
      </c>
      <c r="D7" s="198" t="s">
        <v>437</v>
      </c>
      <c r="E7" s="198" t="s">
        <v>438</v>
      </c>
      <c r="F7" s="198" t="s">
        <v>439</v>
      </c>
      <c r="G7" s="198" t="s">
        <v>440</v>
      </c>
      <c r="H7" s="198" t="s">
        <v>441</v>
      </c>
      <c r="I7" s="198" t="s">
        <v>442</v>
      </c>
      <c r="J7" s="198" t="s">
        <v>537</v>
      </c>
      <c r="K7" s="198" t="s">
        <v>538</v>
      </c>
      <c r="L7" s="198" t="s">
        <v>539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443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453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444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445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447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449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28.5">
      <c r="B19" s="253" t="s">
        <v>451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452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0"/>
  <sheetViews>
    <sheetView topLeftCell="C25" zoomScaleNormal="100" workbookViewId="0">
      <selection activeCell="F45" sqref="F45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0" t="s">
        <v>327</v>
      </c>
      <c r="E3" s="421"/>
      <c r="F3" s="421"/>
      <c r="G3" s="422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2" t="s">
        <v>522</v>
      </c>
      <c r="E5" s="433"/>
      <c r="F5" s="433"/>
      <c r="G5" s="434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3" t="s">
        <v>327</v>
      </c>
      <c r="E6" s="424"/>
      <c r="F6" s="424"/>
      <c r="G6" s="425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26" t="s">
        <v>542</v>
      </c>
      <c r="E7" s="427"/>
      <c r="F7" s="427"/>
      <c r="G7" s="428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29" t="s">
        <v>328</v>
      </c>
      <c r="E8" s="430"/>
      <c r="F8" s="430"/>
      <c r="G8" s="431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329</v>
      </c>
      <c r="E10" s="172" t="s">
        <v>367</v>
      </c>
      <c r="F10" s="172" t="s">
        <v>153</v>
      </c>
      <c r="G10" s="349" t="s">
        <v>368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330</v>
      </c>
      <c r="E11" s="71">
        <f>+E12+E13+E14</f>
        <v>19570828</v>
      </c>
      <c r="F11" s="71">
        <f t="shared" ref="F11:G11" si="0">+F12+F13+F14</f>
        <v>8955941.870000001</v>
      </c>
      <c r="G11" s="350">
        <f t="shared" si="0"/>
        <v>8889573.040000001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331</v>
      </c>
      <c r="E12" s="72">
        <f>+E41</f>
        <v>10146314</v>
      </c>
      <c r="F12" s="72">
        <f t="shared" ref="F12:G12" si="1">+F41</f>
        <v>4918433.4000000004</v>
      </c>
      <c r="G12" s="351">
        <f t="shared" si="1"/>
        <v>4918433.4000000004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332</v>
      </c>
      <c r="E13" s="73">
        <f>+E51</f>
        <v>9424514</v>
      </c>
      <c r="F13" s="73">
        <f t="shared" ref="F13:G13" si="2">+F51</f>
        <v>3971139.64</v>
      </c>
      <c r="G13" s="352">
        <f t="shared" si="2"/>
        <v>3971139.64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333</v>
      </c>
      <c r="E14" s="73">
        <f>+E38</f>
        <v>0</v>
      </c>
      <c r="F14" s="73">
        <f t="shared" ref="F14:G14" si="3">+F38</f>
        <v>66368.83</v>
      </c>
      <c r="G14" s="352">
        <f t="shared" si="3"/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334</v>
      </c>
      <c r="E15" s="71">
        <f>+E16+E17</f>
        <v>19570828</v>
      </c>
      <c r="F15" s="71">
        <f t="shared" ref="F15:G15" si="4">+F16+F17</f>
        <v>6098576.1900000004</v>
      </c>
      <c r="G15" s="350">
        <f t="shared" si="4"/>
        <v>6098575.5899999999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335</v>
      </c>
      <c r="E16" s="73">
        <f>+E45</f>
        <v>10146314</v>
      </c>
      <c r="F16" s="73">
        <f t="shared" ref="F16:G16" si="5">+F45</f>
        <v>3386835.23</v>
      </c>
      <c r="G16" s="352">
        <f t="shared" si="5"/>
        <v>3386834.63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336</v>
      </c>
      <c r="E17" s="73">
        <f>+E55</f>
        <v>9424514</v>
      </c>
      <c r="F17" s="73">
        <f t="shared" ref="F17:G17" si="6">+F55</f>
        <v>2711740.9600000004</v>
      </c>
      <c r="G17" s="352">
        <f t="shared" si="6"/>
        <v>2711740.9600000004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337</v>
      </c>
      <c r="E18" s="174">
        <f>+E19+E20</f>
        <v>0</v>
      </c>
      <c r="F18" s="71">
        <f t="shared" ref="F18:G18" si="7">+F19+F20</f>
        <v>0</v>
      </c>
      <c r="G18" s="350">
        <f t="shared" si="7"/>
        <v>0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338</v>
      </c>
      <c r="E19" s="175">
        <v>0</v>
      </c>
      <c r="F19" s="73">
        <v>0</v>
      </c>
      <c r="G19" s="352">
        <v>0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339</v>
      </c>
      <c r="E20" s="175">
        <v>0</v>
      </c>
      <c r="F20" s="73">
        <v>0</v>
      </c>
      <c r="G20" s="352">
        <v>0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340</v>
      </c>
      <c r="E21" s="71">
        <f>+E11-E15+E18</f>
        <v>0</v>
      </c>
      <c r="F21" s="71">
        <f t="shared" ref="F21" si="8">+F11-F15+F18</f>
        <v>2857365.6800000006</v>
      </c>
      <c r="G21" s="350">
        <f>+G11-G15+G18</f>
        <v>2790997.4500000011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341</v>
      </c>
      <c r="E22" s="71">
        <f>+E21-E38</f>
        <v>0</v>
      </c>
      <c r="F22" s="71">
        <f t="shared" ref="F22:G22" si="9">+F21-F38</f>
        <v>2790996.8500000006</v>
      </c>
      <c r="G22" s="350">
        <f t="shared" si="9"/>
        <v>2790997.4500000011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342</v>
      </c>
      <c r="E23" s="74">
        <f>+E22-E18</f>
        <v>0</v>
      </c>
      <c r="F23" s="74">
        <f t="shared" ref="F23:G23" si="10">+F22-F18</f>
        <v>2790996.8500000006</v>
      </c>
      <c r="G23" s="353">
        <f t="shared" si="10"/>
        <v>2790997.4500000011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343</v>
      </c>
      <c r="E26" s="71">
        <f>+E27+E28</f>
        <v>0</v>
      </c>
      <c r="F26" s="71">
        <f t="shared" ref="F26:G26" si="11">+F27+F28</f>
        <v>0</v>
      </c>
      <c r="G26" s="350">
        <f t="shared" si="11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344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345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346</v>
      </c>
      <c r="E29" s="74">
        <f>+E23+E26</f>
        <v>0</v>
      </c>
      <c r="F29" s="74">
        <f t="shared" ref="F29:G29" si="12">+F23+F26</f>
        <v>2790996.8500000006</v>
      </c>
      <c r="G29" s="353">
        <f t="shared" si="12"/>
        <v>2790997.4500000011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347</v>
      </c>
      <c r="F31" s="172" t="s">
        <v>153</v>
      </c>
      <c r="G31" s="349" t="s">
        <v>369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348</v>
      </c>
      <c r="E32" s="80">
        <f>+E33+E34</f>
        <v>0</v>
      </c>
      <c r="F32" s="80">
        <f t="shared" ref="F32:G32" si="13">+F33+F34</f>
        <v>66368.83</v>
      </c>
      <c r="G32" s="355">
        <f t="shared" si="13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349</v>
      </c>
      <c r="E33" s="75">
        <f>+'F5. EAID'!C68</f>
        <v>0</v>
      </c>
      <c r="F33" s="75">
        <f>+'F5. EAID'!F68</f>
        <v>66368.83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350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351</v>
      </c>
      <c r="E35" s="80">
        <f>+E36+E37</f>
        <v>0</v>
      </c>
      <c r="F35" s="80">
        <f t="shared" ref="F35" si="14">+F36+F37</f>
        <v>0</v>
      </c>
      <c r="G35" s="355">
        <f t="shared" ref="G35" si="15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352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353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354</v>
      </c>
      <c r="E38" s="81">
        <f>+E32-E35</f>
        <v>0</v>
      </c>
      <c r="F38" s="81">
        <f t="shared" ref="F38:G38" si="16">+F32-F35</f>
        <v>66368.83</v>
      </c>
      <c r="G38" s="357">
        <f t="shared" si="16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347</v>
      </c>
      <c r="F40" s="172" t="s">
        <v>153</v>
      </c>
      <c r="G40" s="349" t="s">
        <v>369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355</v>
      </c>
      <c r="E41" s="75">
        <f>+'F5. EAID'!C41</f>
        <v>10146314</v>
      </c>
      <c r="F41" s="75">
        <f>+'F5. EAID'!F41</f>
        <v>4918433.4000000004</v>
      </c>
      <c r="G41" s="356">
        <f>+'F5. EAID'!G41</f>
        <v>4918433.4000000004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356</v>
      </c>
      <c r="E42" s="82">
        <f>+E43-E44</f>
        <v>0</v>
      </c>
      <c r="F42" s="82">
        <f t="shared" ref="F42:G42" si="17">+F43-F44</f>
        <v>66368.83</v>
      </c>
      <c r="G42" s="358">
        <f t="shared" si="17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349</v>
      </c>
      <c r="E43" s="75">
        <f>+'F5. EAID'!C68</f>
        <v>0</v>
      </c>
      <c r="F43" s="75">
        <f>+'F5. EAID'!F68</f>
        <v>66368.83</v>
      </c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352</v>
      </c>
      <c r="E44" s="75">
        <f>+E36</f>
        <v>0</v>
      </c>
      <c r="F44" s="75">
        <f t="shared" ref="F44:G44" si="18">+F36</f>
        <v>0</v>
      </c>
      <c r="G44" s="356">
        <f t="shared" si="18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335</v>
      </c>
      <c r="E45" s="75">
        <f>+'F6a. EAEPE OG'!D10-'F6a. EAEPE OG'!D76</f>
        <v>10146314</v>
      </c>
      <c r="F45" s="75">
        <f>+'F6a. EAEPE OG'!G10-'F6a. EAEPE OG'!G76</f>
        <v>3386835.23</v>
      </c>
      <c r="G45" s="356">
        <f>+'F6a. EAEPE OG'!H10-'F6a. EAEPE OG'!H76</f>
        <v>3386834.63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338</v>
      </c>
      <c r="E46" s="176">
        <v>0</v>
      </c>
      <c r="F46" s="75">
        <v>0</v>
      </c>
      <c r="G46" s="356">
        <v>0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357</v>
      </c>
      <c r="E47" s="80">
        <f>+E41+E42-E45+E46</f>
        <v>0</v>
      </c>
      <c r="F47" s="80">
        <f>+F41+F42-F45+F46</f>
        <v>1597967.0000000005</v>
      </c>
      <c r="G47" s="355">
        <f>+G41+G42-G45+G46</f>
        <v>1531598.7700000005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358</v>
      </c>
      <c r="E48" s="81">
        <f t="shared" ref="E48" si="19">+E47-E42</f>
        <v>0</v>
      </c>
      <c r="F48" s="81">
        <f>+F47-F42</f>
        <v>1531598.1700000004</v>
      </c>
      <c r="G48" s="357">
        <f t="shared" ref="G48" si="20">+G47-G42</f>
        <v>1531598.7700000005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347</v>
      </c>
      <c r="F50" s="172" t="s">
        <v>153</v>
      </c>
      <c r="G50" s="349" t="s">
        <v>369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332</v>
      </c>
      <c r="E51" s="75">
        <f>+'F5. EAID'!C63</f>
        <v>9424514</v>
      </c>
      <c r="F51" s="75">
        <f>+'F5. EAID'!F63</f>
        <v>3971139.64</v>
      </c>
      <c r="G51" s="356">
        <f>+'F5. EAID'!G63</f>
        <v>3971139.64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359</v>
      </c>
      <c r="E52" s="82">
        <f>+E53-E54</f>
        <v>0</v>
      </c>
      <c r="F52" s="82">
        <f t="shared" ref="F52:G52" si="21">+F53-F54</f>
        <v>0</v>
      </c>
      <c r="G52" s="358">
        <f t="shared" si="21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350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353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360</v>
      </c>
      <c r="E55" s="75">
        <f>+'F6a. EAEPE OG'!D83-'F6a. EAEPE OG'!D149</f>
        <v>9424514</v>
      </c>
      <c r="F55" s="75">
        <f>+'F6a. EAEPE OG'!G83-'F6a. EAEPE OG'!G149</f>
        <v>2711740.9600000004</v>
      </c>
      <c r="G55" s="356">
        <f>+'F6a. EAEPE OG'!H83-'F6a. EAEPE OG'!H149</f>
        <v>2711740.9600000004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339</v>
      </c>
      <c r="E56" s="176">
        <v>0</v>
      </c>
      <c r="F56" s="75">
        <v>0</v>
      </c>
      <c r="G56" s="356">
        <v>0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361</v>
      </c>
      <c r="E57" s="80">
        <f>+E51+E52-E55+E56</f>
        <v>0</v>
      </c>
      <c r="F57" s="80">
        <f t="shared" ref="F57:G57" si="22">+F51+F52-F55+F56</f>
        <v>1259398.6799999997</v>
      </c>
      <c r="G57" s="355">
        <f t="shared" si="22"/>
        <v>1259398.6799999997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362</v>
      </c>
      <c r="E58" s="304">
        <f>+E57-E52</f>
        <v>0</v>
      </c>
      <c r="F58" s="304">
        <f t="shared" ref="F58:G58" si="23">+F57-F52</f>
        <v>1259398.6799999997</v>
      </c>
      <c r="G58" s="359">
        <f t="shared" si="23"/>
        <v>1259398.6799999997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19" t="s">
        <v>363</v>
      </c>
      <c r="E60" s="419"/>
      <c r="F60" s="419"/>
      <c r="G60" s="419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19" t="s">
        <v>364</v>
      </c>
      <c r="E61" s="419"/>
      <c r="F61" s="419"/>
      <c r="G61" s="419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521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horizontalDpi="4294967293" verticalDpi="4294967293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61" workbookViewId="0">
      <selection activeCell="G69" sqref="G69"/>
    </sheetView>
  </sheetViews>
  <sheetFormatPr baseColWidth="10" defaultRowHeight="12.75"/>
  <cols>
    <col min="2" max="2" width="61.42578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38" t="s">
        <v>258</v>
      </c>
      <c r="C1" s="438"/>
      <c r="D1" s="438"/>
      <c r="E1" s="438"/>
      <c r="F1" s="438"/>
      <c r="G1" s="438"/>
      <c r="H1" s="438"/>
    </row>
    <row r="2" spans="2:9" ht="15">
      <c r="B2" s="449" t="s">
        <v>522</v>
      </c>
      <c r="C2" s="450"/>
      <c r="D2" s="450"/>
      <c r="E2" s="450"/>
      <c r="F2" s="450"/>
      <c r="G2" s="450"/>
      <c r="H2" s="451"/>
    </row>
    <row r="3" spans="2:9" ht="15">
      <c r="B3" s="448" t="s">
        <v>535</v>
      </c>
      <c r="C3" s="446"/>
      <c r="D3" s="446"/>
      <c r="E3" s="446"/>
      <c r="F3" s="446"/>
      <c r="G3" s="446"/>
      <c r="H3" s="447"/>
    </row>
    <row r="4" spans="2:9" ht="15">
      <c r="B4" s="445" t="s">
        <v>544</v>
      </c>
      <c r="C4" s="446"/>
      <c r="D4" s="446"/>
      <c r="E4" s="446"/>
      <c r="F4" s="446"/>
      <c r="G4" s="446"/>
      <c r="H4" s="447"/>
    </row>
    <row r="5" spans="2:9" ht="15">
      <c r="B5" s="442" t="s">
        <v>4</v>
      </c>
      <c r="C5" s="443"/>
      <c r="D5" s="443"/>
      <c r="E5" s="443"/>
      <c r="F5" s="443"/>
      <c r="G5" s="443"/>
      <c r="H5" s="444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39" t="s">
        <v>259</v>
      </c>
      <c r="C7" s="441" t="s">
        <v>260</v>
      </c>
      <c r="D7" s="441"/>
      <c r="E7" s="441"/>
      <c r="F7" s="441"/>
      <c r="G7" s="441"/>
      <c r="H7" s="440" t="s">
        <v>261</v>
      </c>
    </row>
    <row r="8" spans="2:9" ht="30">
      <c r="B8" s="439"/>
      <c r="C8" s="178" t="s">
        <v>262</v>
      </c>
      <c r="D8" s="179" t="s">
        <v>151</v>
      </c>
      <c r="E8" s="178" t="s">
        <v>152</v>
      </c>
      <c r="F8" s="178" t="s">
        <v>153</v>
      </c>
      <c r="G8" s="178" t="s">
        <v>263</v>
      </c>
      <c r="H8" s="440"/>
    </row>
    <row r="9" spans="2:9" ht="15">
      <c r="B9" s="83" t="s">
        <v>264</v>
      </c>
      <c r="C9" s="90"/>
      <c r="D9" s="90"/>
      <c r="E9" s="90"/>
      <c r="F9" s="90"/>
      <c r="G9" s="90"/>
      <c r="H9" s="90"/>
    </row>
    <row r="10" spans="2:9" ht="15">
      <c r="B10" s="84" t="s">
        <v>265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266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267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268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269</v>
      </c>
      <c r="C14" s="315">
        <v>0</v>
      </c>
      <c r="D14" s="319"/>
      <c r="E14" s="269">
        <f t="shared" si="0"/>
        <v>0</v>
      </c>
      <c r="F14" s="266"/>
      <c r="G14" s="266"/>
      <c r="H14" s="269">
        <f>IF(G14-E14&lt;0,0,E14-G14)</f>
        <v>0</v>
      </c>
    </row>
    <row r="15" spans="2:9" ht="15">
      <c r="B15" s="84" t="s">
        <v>270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271</v>
      </c>
      <c r="C16" s="266">
        <v>721800</v>
      </c>
      <c r="D16" s="319">
        <v>737.72</v>
      </c>
      <c r="E16" s="315">
        <f t="shared" si="0"/>
        <v>722537.72</v>
      </c>
      <c r="F16" s="266">
        <v>503628.4</v>
      </c>
      <c r="G16" s="266">
        <v>503628.4</v>
      </c>
      <c r="H16" s="269">
        <f>IF(G16-E16&lt;0,0,E16-G16)</f>
        <v>0</v>
      </c>
      <c r="I16" s="64"/>
    </row>
    <row r="17" spans="2:10" ht="15">
      <c r="B17" s="84" t="s">
        <v>272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273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274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275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276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277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278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279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280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281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282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283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284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285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286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287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288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289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290</v>
      </c>
      <c r="C35" s="265">
        <v>9424514</v>
      </c>
      <c r="D35" s="269">
        <v>862500</v>
      </c>
      <c r="E35" s="315">
        <f t="shared" si="0"/>
        <v>10287014</v>
      </c>
      <c r="F35" s="266">
        <v>4414805</v>
      </c>
      <c r="G35" s="266">
        <v>4414805</v>
      </c>
      <c r="H35" s="266">
        <f>IF(G35-E35&lt;0,0,E35-G35)</f>
        <v>0</v>
      </c>
      <c r="I35" s="64"/>
      <c r="J35" s="64"/>
    </row>
    <row r="36" spans="2:10" ht="15">
      <c r="B36" s="84" t="s">
        <v>291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292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293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294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295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296</v>
      </c>
      <c r="C41" s="267">
        <f>+C35+C29+C17+C16+C15+C14+C13+C12+C11+C10</f>
        <v>10146314</v>
      </c>
      <c r="D41" s="267">
        <f t="shared" ref="D41:G41" si="1">+D35+D29+D17+D16+D15+D14+D13+D12+D11+D10</f>
        <v>863237.72</v>
      </c>
      <c r="E41" s="267">
        <f t="shared" si="1"/>
        <v>11009551.720000001</v>
      </c>
      <c r="F41" s="267">
        <f t="shared" si="1"/>
        <v>4918433.4000000004</v>
      </c>
      <c r="G41" s="267">
        <f t="shared" si="1"/>
        <v>4918433.4000000004</v>
      </c>
      <c r="H41" s="267">
        <f>IF(G41-E41&lt;0,0,E41-G41)</f>
        <v>0</v>
      </c>
      <c r="I41" s="64"/>
      <c r="J41" s="65"/>
    </row>
    <row r="42" spans="2:10" ht="15">
      <c r="B42" s="86" t="s">
        <v>297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298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299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300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301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302</v>
      </c>
      <c r="C47" s="91"/>
      <c r="D47" s="91"/>
      <c r="E47" s="91"/>
      <c r="F47" s="91"/>
      <c r="G47" s="91"/>
      <c r="H47" s="91"/>
      <c r="I47" s="64"/>
      <c r="J47" s="64"/>
    </row>
    <row r="48" spans="2:10" ht="45">
      <c r="B48" s="87" t="s">
        <v>303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304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305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306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307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308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309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310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311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312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313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314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315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316</v>
      </c>
      <c r="C61" s="268">
        <v>9424514</v>
      </c>
      <c r="D61" s="269">
        <v>0</v>
      </c>
      <c r="E61" s="269">
        <f>C61+D61</f>
        <v>9424514</v>
      </c>
      <c r="F61" s="269">
        <v>3968515</v>
      </c>
      <c r="G61" s="269">
        <v>3968515</v>
      </c>
      <c r="H61" s="316">
        <f>IF(G61-E61&lt;0,0,E61-G61)</f>
        <v>0</v>
      </c>
      <c r="I61" s="64"/>
      <c r="J61" s="64"/>
    </row>
    <row r="62" spans="2:10" ht="15">
      <c r="B62" s="84" t="s">
        <v>317</v>
      </c>
      <c r="C62" s="91">
        <v>0</v>
      </c>
      <c r="D62" s="266">
        <v>2624.64</v>
      </c>
      <c r="E62" s="266">
        <f>C62+D62</f>
        <v>2624.64</v>
      </c>
      <c r="F62" s="266">
        <v>2624.64</v>
      </c>
      <c r="G62" s="266">
        <v>2624.64</v>
      </c>
      <c r="H62" s="91"/>
      <c r="I62" s="64"/>
      <c r="J62" s="64"/>
    </row>
    <row r="63" spans="2:10" ht="15">
      <c r="B63" s="86" t="s">
        <v>318</v>
      </c>
      <c r="C63" s="267">
        <f>C61+C53+C44+C58+C62</f>
        <v>9424514</v>
      </c>
      <c r="D63" s="267">
        <f t="shared" ref="D63:G63" si="2">D61+D53+D44+D58+D62</f>
        <v>2624.64</v>
      </c>
      <c r="E63" s="267">
        <f t="shared" si="2"/>
        <v>9427138.6400000006</v>
      </c>
      <c r="F63" s="267">
        <f t="shared" si="2"/>
        <v>3971139.64</v>
      </c>
      <c r="G63" s="267">
        <f t="shared" si="2"/>
        <v>3971139.64</v>
      </c>
      <c r="H63" s="267">
        <f>IF(G63-E63&lt;0,0,E63-G63)</f>
        <v>0</v>
      </c>
      <c r="I63" s="64"/>
      <c r="J63" s="65"/>
    </row>
    <row r="64" spans="2:10" ht="15">
      <c r="B64" s="86" t="s">
        <v>319</v>
      </c>
      <c r="C64" s="92"/>
      <c r="D64" s="267">
        <f>D65</f>
        <v>66368.83</v>
      </c>
      <c r="E64" s="267">
        <f t="shared" ref="E64:G64" si="3">E65</f>
        <v>66368.83</v>
      </c>
      <c r="F64" s="92">
        <f t="shared" si="3"/>
        <v>0</v>
      </c>
      <c r="G64" s="92">
        <f t="shared" si="3"/>
        <v>0</v>
      </c>
      <c r="H64" s="92"/>
      <c r="I64" s="64"/>
      <c r="J64" s="65"/>
    </row>
    <row r="65" spans="2:10" ht="15">
      <c r="B65" s="84" t="s">
        <v>320</v>
      </c>
      <c r="C65" s="93"/>
      <c r="D65" s="517">
        <v>66368.83</v>
      </c>
      <c r="E65" s="517">
        <v>66368.83</v>
      </c>
      <c r="F65" s="93"/>
      <c r="G65" s="93"/>
      <c r="H65" s="93"/>
      <c r="I65" s="64"/>
      <c r="J65" s="328">
        <f>G41+G63</f>
        <v>8889573.040000001</v>
      </c>
    </row>
    <row r="66" spans="2:10" ht="15">
      <c r="B66" s="86" t="s">
        <v>321</v>
      </c>
      <c r="C66" s="267">
        <f>C64+C63+C41</f>
        <v>19570828</v>
      </c>
      <c r="D66" s="267">
        <f>D64+D63+D41</f>
        <v>932231.19</v>
      </c>
      <c r="E66" s="267">
        <f t="shared" ref="E66:G66" si="4">E64+E63+E41</f>
        <v>20503059.190000001</v>
      </c>
      <c r="F66" s="267">
        <f t="shared" si="4"/>
        <v>8889573.040000001</v>
      </c>
      <c r="G66" s="267">
        <f t="shared" si="4"/>
        <v>8889573.040000001</v>
      </c>
      <c r="H66" s="267">
        <f>IF(G66-E66&lt;0,0,E66-G66)</f>
        <v>0</v>
      </c>
      <c r="I66" s="64"/>
      <c r="J66" s="65"/>
    </row>
    <row r="67" spans="2:10" ht="15">
      <c r="B67" s="88" t="s">
        <v>322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323</v>
      </c>
      <c r="C68" s="92"/>
      <c r="D68" s="92"/>
      <c r="E68" s="267">
        <v>66368.83</v>
      </c>
      <c r="F68" s="267">
        <v>66368.83</v>
      </c>
      <c r="G68" s="92"/>
      <c r="H68" s="92"/>
      <c r="I68" s="64"/>
      <c r="J68" s="64"/>
    </row>
    <row r="69" spans="2:10" ht="15">
      <c r="B69" s="86" t="s">
        <v>324</v>
      </c>
      <c r="C69" s="92"/>
      <c r="D69" s="92"/>
      <c r="E69" s="267"/>
      <c r="F69" s="267"/>
      <c r="G69" s="92"/>
      <c r="H69" s="92"/>
      <c r="I69" s="64"/>
      <c r="J69" s="64"/>
    </row>
    <row r="70" spans="2:10" ht="15">
      <c r="B70" s="89" t="s">
        <v>325</v>
      </c>
      <c r="C70" s="94"/>
      <c r="D70" s="94"/>
      <c r="E70" s="518">
        <f>E68+E69</f>
        <v>66368.83</v>
      </c>
      <c r="F70" s="518">
        <f t="shared" ref="F70" si="5">F68+F69</f>
        <v>66368.83</v>
      </c>
      <c r="G70" s="94"/>
      <c r="H70" s="94"/>
      <c r="I70" s="64"/>
      <c r="J70" s="64"/>
    </row>
    <row r="71" spans="2:10" ht="29.25" customHeight="1">
      <c r="B71" s="436" t="s">
        <v>326</v>
      </c>
      <c r="C71" s="436"/>
      <c r="D71" s="436"/>
      <c r="E71" s="436"/>
      <c r="F71" s="436"/>
      <c r="G71" s="436"/>
      <c r="H71" s="436"/>
      <c r="I71" s="64"/>
      <c r="J71" s="64"/>
    </row>
    <row r="72" spans="2:10" ht="15">
      <c r="B72" s="437" t="s">
        <v>518</v>
      </c>
      <c r="C72" s="436"/>
      <c r="D72" s="436"/>
      <c r="E72" s="436"/>
      <c r="F72" s="436"/>
      <c r="G72" s="436"/>
      <c r="H72" s="436"/>
    </row>
    <row r="73" spans="2:10" ht="27.75" customHeight="1">
      <c r="B73" s="435" t="s">
        <v>520</v>
      </c>
      <c r="C73" s="436"/>
      <c r="D73" s="436"/>
      <c r="E73" s="436"/>
      <c r="F73" s="436"/>
      <c r="G73" s="436"/>
      <c r="H73" s="436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1590414.3099999987</v>
      </c>
      <c r="G76" s="317"/>
      <c r="H76" s="329"/>
    </row>
    <row r="77" spans="2:10">
      <c r="C77" s="318">
        <f>C66-C75</f>
        <v>163604</v>
      </c>
      <c r="D77" s="318">
        <f t="shared" ref="D77:G77" si="6">D66-D75</f>
        <v>805070.09</v>
      </c>
      <c r="E77" s="318">
        <f t="shared" si="6"/>
        <v>968674.08999999985</v>
      </c>
      <c r="F77" s="318">
        <f t="shared" si="6"/>
        <v>8889561.040000001</v>
      </c>
      <c r="G77" s="318">
        <f t="shared" si="6"/>
        <v>237727.83000000007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topLeftCell="A136" zoomScale="90" zoomScaleNormal="90" workbookViewId="0">
      <selection activeCell="I156" sqref="I156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2" t="s">
        <v>524</v>
      </c>
      <c r="C2" s="453"/>
      <c r="D2" s="453"/>
      <c r="E2" s="453"/>
      <c r="F2" s="453"/>
      <c r="G2" s="453"/>
      <c r="H2" s="453"/>
      <c r="I2" s="454"/>
    </row>
    <row r="3" spans="1:13" ht="15">
      <c r="A3" s="45"/>
      <c r="B3" s="455" t="s">
        <v>365</v>
      </c>
      <c r="C3" s="456"/>
      <c r="D3" s="456"/>
      <c r="E3" s="456"/>
      <c r="F3" s="456"/>
      <c r="G3" s="456"/>
      <c r="H3" s="456"/>
      <c r="I3" s="457"/>
    </row>
    <row r="4" spans="1:13" ht="15">
      <c r="A4" s="45"/>
      <c r="B4" s="458" t="s">
        <v>366</v>
      </c>
      <c r="C4" s="459"/>
      <c r="D4" s="459"/>
      <c r="E4" s="459"/>
      <c r="F4" s="459"/>
      <c r="G4" s="459"/>
      <c r="H4" s="459"/>
      <c r="I4" s="460"/>
    </row>
    <row r="5" spans="1:13" ht="15">
      <c r="A5" s="45"/>
      <c r="B5" s="461" t="s">
        <v>543</v>
      </c>
      <c r="C5" s="462"/>
      <c r="D5" s="462"/>
      <c r="E5" s="462"/>
      <c r="F5" s="462"/>
      <c r="G5" s="462"/>
      <c r="H5" s="462"/>
      <c r="I5" s="463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4" t="s">
        <v>128</v>
      </c>
      <c r="C7" s="465"/>
      <c r="D7" s="470"/>
      <c r="E7" s="470"/>
      <c r="F7" s="470"/>
      <c r="G7" s="470"/>
      <c r="H7" s="471"/>
      <c r="I7" s="472" t="s">
        <v>149</v>
      </c>
    </row>
    <row r="8" spans="1:13" ht="30">
      <c r="A8" s="45"/>
      <c r="B8" s="466"/>
      <c r="C8" s="467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3"/>
    </row>
    <row r="9" spans="1:13" ht="15">
      <c r="A9" s="45"/>
      <c r="B9" s="468"/>
      <c r="C9" s="469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10146314</v>
      </c>
      <c r="E10" s="49">
        <f t="shared" ref="E10:I10" si="0">+E11+E19+E29+E39+E49+E59+E63+E71+E75</f>
        <v>863237.72</v>
      </c>
      <c r="F10" s="49">
        <f t="shared" si="0"/>
        <v>11009551.719999999</v>
      </c>
      <c r="G10" s="49">
        <f t="shared" si="0"/>
        <v>3386835.23</v>
      </c>
      <c r="H10" s="49">
        <f t="shared" si="0"/>
        <v>3386834.63</v>
      </c>
      <c r="I10" s="49">
        <f t="shared" si="0"/>
        <v>7622716.4900000002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3021101</v>
      </c>
      <c r="E11" s="53">
        <f t="shared" ref="E11:I11" si="1">SUM(E12:E18)</f>
        <v>862500</v>
      </c>
      <c r="F11" s="53">
        <f t="shared" si="1"/>
        <v>3883601</v>
      </c>
      <c r="G11" s="53">
        <f t="shared" si="1"/>
        <v>2615584.94</v>
      </c>
      <c r="H11" s="53">
        <f t="shared" si="1"/>
        <v>2615584.94</v>
      </c>
      <c r="I11" s="53">
        <f t="shared" si="1"/>
        <v>1268016.0599999998</v>
      </c>
    </row>
    <row r="12" spans="1:13" ht="15">
      <c r="A12" s="45"/>
      <c r="B12" s="62" t="s">
        <v>6</v>
      </c>
      <c r="C12" s="54" t="s">
        <v>157</v>
      </c>
      <c r="D12" s="78">
        <v>2778114</v>
      </c>
      <c r="E12" s="78">
        <v>862500</v>
      </c>
      <c r="F12" s="78">
        <f>D12+E12</f>
        <v>3640614</v>
      </c>
      <c r="G12" s="78">
        <v>2398003.12</v>
      </c>
      <c r="H12" s="78">
        <v>2398003.12</v>
      </c>
      <c r="I12" s="283">
        <f>F12-G12</f>
        <v>1242610.8799999999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/>
      <c r="E14" s="78"/>
      <c r="F14" s="78"/>
      <c r="G14" s="78"/>
      <c r="H14" s="78"/>
      <c r="I14" s="283">
        <f t="shared" si="3"/>
        <v>0</v>
      </c>
      <c r="K14" s="368"/>
    </row>
    <row r="15" spans="1:13" ht="15">
      <c r="A15" s="45"/>
      <c r="B15" s="62" t="s">
        <v>9</v>
      </c>
      <c r="C15" s="54" t="s">
        <v>160</v>
      </c>
      <c r="D15" s="78"/>
      <c r="E15" s="78"/>
      <c r="F15" s="78"/>
      <c r="G15" s="325"/>
      <c r="H15" s="325"/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242987</v>
      </c>
      <c r="E16" s="78">
        <v>0</v>
      </c>
      <c r="F16" s="78">
        <v>242987</v>
      </c>
      <c r="G16" s="78">
        <v>217581.82</v>
      </c>
      <c r="H16" s="78">
        <v>217581.82</v>
      </c>
      <c r="I16" s="283">
        <f t="shared" si="3"/>
        <v>25405.179999999993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240000</v>
      </c>
      <c r="E19" s="162">
        <f t="shared" ref="E19:I19" si="4">SUM(E20:E28)</f>
        <v>67302.169999999984</v>
      </c>
      <c r="F19" s="162">
        <f t="shared" si="4"/>
        <v>307302.17</v>
      </c>
      <c r="G19" s="162">
        <f t="shared" si="4"/>
        <v>226588.57999999996</v>
      </c>
      <c r="H19" s="162">
        <f t="shared" si="4"/>
        <v>226588.57999999996</v>
      </c>
      <c r="I19" s="162">
        <f t="shared" si="4"/>
        <v>80713.59</v>
      </c>
    </row>
    <row r="20" spans="1:11" ht="15">
      <c r="A20" s="45"/>
      <c r="B20" s="62" t="s">
        <v>13</v>
      </c>
      <c r="C20" s="54" t="s">
        <v>164</v>
      </c>
      <c r="D20" s="78">
        <v>49320</v>
      </c>
      <c r="E20" s="78">
        <v>33846.080000000002</v>
      </c>
      <c r="F20" s="78">
        <v>83166.080000000002</v>
      </c>
      <c r="G20" s="78">
        <v>75681.759999999995</v>
      </c>
      <c r="H20" s="78">
        <v>75681.759999999995</v>
      </c>
      <c r="I20" s="283">
        <f>F20-G20</f>
        <v>7484.320000000007</v>
      </c>
      <c r="K20" s="369"/>
    </row>
    <row r="21" spans="1:11" ht="15">
      <c r="A21" s="45"/>
      <c r="B21" s="62" t="s">
        <v>14</v>
      </c>
      <c r="C21" s="54" t="s">
        <v>165</v>
      </c>
      <c r="D21" s="78">
        <v>52080</v>
      </c>
      <c r="E21" s="78">
        <v>-10799.04</v>
      </c>
      <c r="F21" s="78">
        <v>41280.959999999999</v>
      </c>
      <c r="G21" s="78">
        <v>8257.14</v>
      </c>
      <c r="H21" s="78">
        <v>8257.14</v>
      </c>
      <c r="I21" s="283">
        <f t="shared" ref="I21:I28" si="5">F21-G21</f>
        <v>33023.82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ref="F22:F28" si="6">D22+E22</f>
        <v>0</v>
      </c>
      <c r="G22" s="78"/>
      <c r="H22" s="78"/>
      <c r="I22" s="283">
        <f t="shared" si="5"/>
        <v>0</v>
      </c>
    </row>
    <row r="23" spans="1:11" ht="15">
      <c r="A23" s="45"/>
      <c r="B23" s="62" t="s">
        <v>16</v>
      </c>
      <c r="C23" s="54" t="s">
        <v>167</v>
      </c>
      <c r="D23" s="78">
        <v>6000</v>
      </c>
      <c r="E23" s="78">
        <v>38364.81</v>
      </c>
      <c r="F23" s="78">
        <f t="shared" si="6"/>
        <v>44364.81</v>
      </c>
      <c r="G23" s="78">
        <v>44364.81</v>
      </c>
      <c r="H23" s="78">
        <v>44364.81</v>
      </c>
      <c r="I23" s="283">
        <f t="shared" si="5"/>
        <v>0</v>
      </c>
    </row>
    <row r="24" spans="1:11" ht="15">
      <c r="A24" s="45"/>
      <c r="B24" s="62" t="s">
        <v>17</v>
      </c>
      <c r="C24" s="54" t="s">
        <v>168</v>
      </c>
      <c r="D24" s="78">
        <v>4800</v>
      </c>
      <c r="E24" s="78">
        <v>5967.82</v>
      </c>
      <c r="F24" s="78">
        <f>D24+E24</f>
        <v>10767.82</v>
      </c>
      <c r="G24" s="78">
        <v>10670.39</v>
      </c>
      <c r="H24" s="78">
        <v>10670.39</v>
      </c>
      <c r="I24" s="283">
        <f t="shared" si="5"/>
        <v>97.430000000000291</v>
      </c>
    </row>
    <row r="25" spans="1:11" ht="15">
      <c r="A25" s="45"/>
      <c r="B25" s="62" t="s">
        <v>18</v>
      </c>
      <c r="C25" s="54" t="s">
        <v>169</v>
      </c>
      <c r="D25" s="78">
        <v>77600</v>
      </c>
      <c r="E25" s="78">
        <v>4642.07</v>
      </c>
      <c r="F25" s="78">
        <f t="shared" si="6"/>
        <v>82242.070000000007</v>
      </c>
      <c r="G25" s="78">
        <v>46729.48</v>
      </c>
      <c r="H25" s="78">
        <v>46729.48</v>
      </c>
      <c r="I25" s="283">
        <f t="shared" si="5"/>
        <v>35512.590000000004</v>
      </c>
    </row>
    <row r="26" spans="1:11" ht="15">
      <c r="A26" s="45"/>
      <c r="B26" s="62" t="s">
        <v>61</v>
      </c>
      <c r="C26" s="54" t="s">
        <v>170</v>
      </c>
      <c r="D26" s="78">
        <v>8000</v>
      </c>
      <c r="E26" s="78">
        <v>-1304.75</v>
      </c>
      <c r="F26" s="78">
        <f t="shared" si="6"/>
        <v>6695.25</v>
      </c>
      <c r="G26" s="78">
        <v>4694.8</v>
      </c>
      <c r="H26" s="78">
        <v>4694.8</v>
      </c>
      <c r="I26" s="283">
        <f t="shared" si="5"/>
        <v>2000.4499999999998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6"/>
        <v>0</v>
      </c>
      <c r="G27" s="78"/>
      <c r="H27" s="78"/>
      <c r="I27" s="283">
        <f t="shared" si="5"/>
        <v>0</v>
      </c>
    </row>
    <row r="28" spans="1:11" ht="15">
      <c r="A28" s="45"/>
      <c r="B28" s="62" t="s">
        <v>224</v>
      </c>
      <c r="C28" s="54" t="s">
        <v>172</v>
      </c>
      <c r="D28" s="78">
        <v>42200</v>
      </c>
      <c r="E28" s="78">
        <v>-3414.82</v>
      </c>
      <c r="F28" s="78">
        <f t="shared" si="6"/>
        <v>38785.18</v>
      </c>
      <c r="G28" s="78">
        <v>36190.199999999997</v>
      </c>
      <c r="H28" s="78">
        <v>36190.199999999997</v>
      </c>
      <c r="I28" s="283">
        <f t="shared" si="5"/>
        <v>2594.9800000000032</v>
      </c>
    </row>
    <row r="29" spans="1:11" ht="15">
      <c r="A29" s="50"/>
      <c r="B29" s="55" t="s">
        <v>230</v>
      </c>
      <c r="C29" s="56"/>
      <c r="D29" s="162">
        <f>SUM(D30:D38)</f>
        <v>6835213</v>
      </c>
      <c r="E29" s="162">
        <f t="shared" ref="E29:I29" si="7">SUM(E30:E38)</f>
        <v>-66564.450000000012</v>
      </c>
      <c r="F29" s="162">
        <f t="shared" si="7"/>
        <v>6768648.5499999998</v>
      </c>
      <c r="G29" s="162">
        <f t="shared" si="7"/>
        <v>510067.71</v>
      </c>
      <c r="H29" s="162">
        <f t="shared" si="7"/>
        <v>510067.11</v>
      </c>
      <c r="I29" s="162">
        <f t="shared" si="7"/>
        <v>6258580.8399999999</v>
      </c>
    </row>
    <row r="30" spans="1:11" ht="15">
      <c r="A30" s="45"/>
      <c r="B30" s="62" t="s">
        <v>21</v>
      </c>
      <c r="C30" s="54" t="s">
        <v>173</v>
      </c>
      <c r="D30" s="78">
        <v>364363</v>
      </c>
      <c r="E30" s="78">
        <v>17843.77</v>
      </c>
      <c r="F30" s="78">
        <f>D30+E30</f>
        <v>382206.77</v>
      </c>
      <c r="G30" s="78">
        <v>158489.57</v>
      </c>
      <c r="H30" s="78">
        <v>158488.97</v>
      </c>
      <c r="I30" s="283">
        <f>F30-G30</f>
        <v>223717.2</v>
      </c>
      <c r="K30" s="368"/>
    </row>
    <row r="31" spans="1:11" ht="15">
      <c r="A31" s="45"/>
      <c r="B31" s="62" t="s">
        <v>22</v>
      </c>
      <c r="C31" s="54" t="s">
        <v>174</v>
      </c>
      <c r="D31" s="78">
        <v>5407550</v>
      </c>
      <c r="E31" s="78">
        <v>-4369.6000000000004</v>
      </c>
      <c r="F31" s="78">
        <f>D31+E31</f>
        <v>5403180.4000000004</v>
      </c>
      <c r="G31" s="78">
        <v>2400</v>
      </c>
      <c r="H31" s="78">
        <v>2400</v>
      </c>
      <c r="I31" s="283">
        <f t="shared" ref="I31:I38" si="8">F31-G31</f>
        <v>5400780.4000000004</v>
      </c>
    </row>
    <row r="32" spans="1:11" ht="15">
      <c r="A32" s="45"/>
      <c r="B32" s="62" t="s">
        <v>23</v>
      </c>
      <c r="C32" s="54" t="s">
        <v>175</v>
      </c>
      <c r="D32" s="78">
        <v>371000</v>
      </c>
      <c r="E32" s="78">
        <v>-13263.2</v>
      </c>
      <c r="F32" s="78">
        <f t="shared" ref="F32:F38" si="9">D32+E32</f>
        <v>357736.8</v>
      </c>
      <c r="G32" s="78">
        <v>142459.88</v>
      </c>
      <c r="H32" s="78">
        <v>142459.88</v>
      </c>
      <c r="I32" s="283">
        <f t="shared" si="8"/>
        <v>215276.91999999998</v>
      </c>
      <c r="K32" s="370"/>
    </row>
    <row r="33" spans="1:9" ht="15">
      <c r="A33" s="45"/>
      <c r="B33" s="62" t="s">
        <v>24</v>
      </c>
      <c r="C33" s="54" t="s">
        <v>176</v>
      </c>
      <c r="D33" s="78">
        <v>59800</v>
      </c>
      <c r="E33" s="78">
        <v>-19712.89</v>
      </c>
      <c r="F33" s="78">
        <f t="shared" si="9"/>
        <v>40087.11</v>
      </c>
      <c r="G33" s="78">
        <v>18848.34</v>
      </c>
      <c r="H33" s="78">
        <v>18848.34</v>
      </c>
      <c r="I33" s="283">
        <f t="shared" si="8"/>
        <v>21238.77</v>
      </c>
    </row>
    <row r="34" spans="1:9" ht="15">
      <c r="A34" s="45"/>
      <c r="B34" s="62" t="s">
        <v>25</v>
      </c>
      <c r="C34" s="54" t="s">
        <v>177</v>
      </c>
      <c r="D34" s="78">
        <v>445900</v>
      </c>
      <c r="E34" s="78">
        <v>-55308.43</v>
      </c>
      <c r="F34" s="78">
        <f t="shared" si="9"/>
        <v>390591.57</v>
      </c>
      <c r="G34" s="78">
        <v>99669.08</v>
      </c>
      <c r="H34" s="78">
        <v>99669.08</v>
      </c>
      <c r="I34" s="283">
        <f t="shared" si="8"/>
        <v>290922.49</v>
      </c>
    </row>
    <row r="35" spans="1:9" ht="15">
      <c r="A35" s="45"/>
      <c r="B35" s="62" t="s">
        <v>225</v>
      </c>
      <c r="C35" s="54" t="s">
        <v>178</v>
      </c>
      <c r="D35" s="78">
        <v>10000</v>
      </c>
      <c r="E35" s="78">
        <v>33186.800000000003</v>
      </c>
      <c r="F35" s="78">
        <f t="shared" si="9"/>
        <v>43186.8</v>
      </c>
      <c r="G35" s="78">
        <v>43186.8</v>
      </c>
      <c r="H35" s="78">
        <v>43186.8</v>
      </c>
      <c r="I35" s="283">
        <f t="shared" si="8"/>
        <v>0</v>
      </c>
    </row>
    <row r="36" spans="1:9" ht="15">
      <c r="A36" s="45"/>
      <c r="B36" s="62" t="s">
        <v>226</v>
      </c>
      <c r="C36" s="54" t="s">
        <v>179</v>
      </c>
      <c r="D36" s="78">
        <v>159200</v>
      </c>
      <c r="E36" s="78">
        <v>-62464.94</v>
      </c>
      <c r="F36" s="78">
        <f t="shared" si="9"/>
        <v>96735.06</v>
      </c>
      <c r="G36" s="78">
        <v>5090</v>
      </c>
      <c r="H36" s="78">
        <v>5090</v>
      </c>
      <c r="I36" s="283">
        <f t="shared" si="8"/>
        <v>91645.06</v>
      </c>
    </row>
    <row r="37" spans="1:9" ht="15">
      <c r="A37" s="45"/>
      <c r="B37" s="62" t="s">
        <v>227</v>
      </c>
      <c r="C37" s="54" t="s">
        <v>180</v>
      </c>
      <c r="D37" s="78">
        <v>15000</v>
      </c>
      <c r="E37" s="78">
        <v>26680</v>
      </c>
      <c r="F37" s="78">
        <f t="shared" si="9"/>
        <v>41680</v>
      </c>
      <c r="G37" s="78">
        <v>26680</v>
      </c>
      <c r="H37" s="78">
        <v>26680</v>
      </c>
      <c r="I37" s="283">
        <f t="shared" si="8"/>
        <v>15000</v>
      </c>
    </row>
    <row r="38" spans="1:9" ht="15">
      <c r="A38" s="45"/>
      <c r="B38" s="62" t="s">
        <v>228</v>
      </c>
      <c r="C38" s="54" t="s">
        <v>181</v>
      </c>
      <c r="D38" s="78">
        <v>2400</v>
      </c>
      <c r="E38" s="78">
        <v>10844.04</v>
      </c>
      <c r="F38" s="78">
        <f t="shared" si="9"/>
        <v>13244.04</v>
      </c>
      <c r="G38" s="78">
        <v>13244.04</v>
      </c>
      <c r="H38" s="78">
        <v>13244.04</v>
      </c>
      <c r="I38" s="283">
        <f t="shared" si="8"/>
        <v>0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50000</v>
      </c>
      <c r="E49" s="162">
        <f t="shared" ref="E49:I49" si="11">SUM(E50:E58)</f>
        <v>0</v>
      </c>
      <c r="F49" s="162">
        <f t="shared" si="11"/>
        <v>50000</v>
      </c>
      <c r="G49" s="162">
        <f t="shared" si="11"/>
        <v>34594</v>
      </c>
      <c r="H49" s="162">
        <f t="shared" si="11"/>
        <v>34594</v>
      </c>
      <c r="I49" s="162">
        <f t="shared" si="11"/>
        <v>15406</v>
      </c>
    </row>
    <row r="50" spans="1:9" ht="15">
      <c r="A50" s="45"/>
      <c r="B50" s="62" t="s">
        <v>84</v>
      </c>
      <c r="C50" s="54" t="s">
        <v>191</v>
      </c>
      <c r="D50" s="78">
        <v>50000</v>
      </c>
      <c r="E50" s="78">
        <v>-9164</v>
      </c>
      <c r="F50" s="78">
        <f>D50+E50</f>
        <v>40836</v>
      </c>
      <c r="G50" s="78">
        <v>25430</v>
      </c>
      <c r="H50" s="78">
        <v>25430</v>
      </c>
      <c r="I50" s="283">
        <f>F50-G50</f>
        <v>15406</v>
      </c>
    </row>
    <row r="51" spans="1:9" ht="15">
      <c r="A51" s="45"/>
      <c r="B51" s="62" t="s">
        <v>85</v>
      </c>
      <c r="C51" s="54" t="s">
        <v>192</v>
      </c>
      <c r="D51" s="78"/>
      <c r="E51" s="78">
        <v>9164</v>
      </c>
      <c r="F51" s="283">
        <f t="shared" ref="F51:F58" si="12">D51+E51</f>
        <v>9164</v>
      </c>
      <c r="G51" s="78">
        <v>9164</v>
      </c>
      <c r="H51" s="78">
        <v>9164</v>
      </c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0</v>
      </c>
      <c r="E53" s="78">
        <v>0</v>
      </c>
      <c r="F53" s="283">
        <f t="shared" si="12"/>
        <v>0</v>
      </c>
      <c r="G53" s="283"/>
      <c r="H53" s="283"/>
      <c r="I53" s="283">
        <f t="shared" si="13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9424514</v>
      </c>
      <c r="E83" s="49">
        <f t="shared" ref="E83:I83" si="18">+E84+E92+E102+E112+E122+E132+E136+E144+E148</f>
        <v>68993.47</v>
      </c>
      <c r="F83" s="49">
        <f t="shared" si="18"/>
        <v>9493507.4700000007</v>
      </c>
      <c r="G83" s="49">
        <f t="shared" si="18"/>
        <v>2711740.9600000004</v>
      </c>
      <c r="H83" s="49">
        <f t="shared" si="18"/>
        <v>2711740.9600000004</v>
      </c>
      <c r="I83" s="49">
        <f t="shared" si="18"/>
        <v>6781766.5099999998</v>
      </c>
      <c r="L83" s="368"/>
    </row>
    <row r="84" spans="1:12" ht="15">
      <c r="A84" s="50"/>
      <c r="B84" s="51" t="s">
        <v>221</v>
      </c>
      <c r="C84" s="52"/>
      <c r="D84" s="53">
        <f>SUM(D85:D91)</f>
        <v>8624514</v>
      </c>
      <c r="E84" s="53">
        <f t="shared" ref="E84:I84" si="19">SUM(E85:E91)</f>
        <v>0</v>
      </c>
      <c r="F84" s="53">
        <f t="shared" si="19"/>
        <v>8624514</v>
      </c>
      <c r="G84" s="53">
        <f t="shared" si="19"/>
        <v>2463683.4300000002</v>
      </c>
      <c r="H84" s="53">
        <f t="shared" si="19"/>
        <v>2463683.4300000002</v>
      </c>
      <c r="I84" s="53">
        <f t="shared" si="19"/>
        <v>6160830.5699999994</v>
      </c>
    </row>
    <row r="85" spans="1:12" ht="15">
      <c r="A85" s="45"/>
      <c r="B85" s="62" t="s">
        <v>6</v>
      </c>
      <c r="C85" s="54" t="s">
        <v>157</v>
      </c>
      <c r="D85" s="78">
        <v>5300811</v>
      </c>
      <c r="E85" s="78"/>
      <c r="F85" s="78">
        <f>D85+E85</f>
        <v>5300811</v>
      </c>
      <c r="G85" s="78">
        <v>2247696.79</v>
      </c>
      <c r="H85" s="78">
        <v>2247696.79</v>
      </c>
      <c r="I85" s="283">
        <f>F85-G85</f>
        <v>3053114.21</v>
      </c>
      <c r="K85" s="368"/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/>
      <c r="H86" s="78"/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1693703</v>
      </c>
      <c r="E87" s="78"/>
      <c r="F87" s="78">
        <f t="shared" si="20"/>
        <v>1693703</v>
      </c>
      <c r="G87" s="78">
        <v>4320.95</v>
      </c>
      <c r="H87" s="78">
        <v>4320.95</v>
      </c>
      <c r="I87" s="283">
        <f t="shared" si="21"/>
        <v>1689382.05</v>
      </c>
    </row>
    <row r="88" spans="1:12" ht="15">
      <c r="A88" s="45"/>
      <c r="B88" s="62" t="s">
        <v>9</v>
      </c>
      <c r="C88" s="54" t="s">
        <v>160</v>
      </c>
      <c r="D88" s="78"/>
      <c r="E88" s="78"/>
      <c r="F88" s="78">
        <f t="shared" si="20"/>
        <v>0</v>
      </c>
      <c r="G88" s="78"/>
      <c r="H88" s="78"/>
      <c r="I88" s="283">
        <f t="shared" si="21"/>
        <v>0</v>
      </c>
    </row>
    <row r="89" spans="1:12" ht="15">
      <c r="A89" s="45"/>
      <c r="B89" s="62" t="s">
        <v>10</v>
      </c>
      <c r="C89" s="54" t="s">
        <v>161</v>
      </c>
      <c r="D89" s="78">
        <v>630000</v>
      </c>
      <c r="E89" s="78"/>
      <c r="F89" s="78">
        <f t="shared" si="20"/>
        <v>630000</v>
      </c>
      <c r="G89" s="78">
        <v>211665.69</v>
      </c>
      <c r="H89" s="78">
        <v>211665.69</v>
      </c>
      <c r="I89" s="283">
        <f t="shared" si="21"/>
        <v>418334.31</v>
      </c>
    </row>
    <row r="90" spans="1:12" ht="15">
      <c r="A90" s="45"/>
      <c r="B90" s="62" t="s">
        <v>11</v>
      </c>
      <c r="C90" s="54" t="s">
        <v>162</v>
      </c>
      <c r="D90" s="78">
        <v>1000000</v>
      </c>
      <c r="E90" s="78"/>
      <c r="F90" s="78">
        <f t="shared" si="20"/>
        <v>1000000</v>
      </c>
      <c r="G90" s="78"/>
      <c r="H90" s="78"/>
      <c r="I90" s="283">
        <f t="shared" si="21"/>
        <v>1000000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/>
      <c r="H91" s="78"/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300000</v>
      </c>
      <c r="E92" s="162">
        <f t="shared" ref="E92:I92" si="22">SUM(E93:E101)</f>
        <v>-18641.2</v>
      </c>
      <c r="F92" s="162">
        <f t="shared" si="22"/>
        <v>281358.8</v>
      </c>
      <c r="G92" s="162">
        <f t="shared" si="22"/>
        <v>21115.89</v>
      </c>
      <c r="H92" s="162">
        <f t="shared" si="22"/>
        <v>21115.89</v>
      </c>
      <c r="I92" s="162">
        <f t="shared" si="22"/>
        <v>260242.90999999997</v>
      </c>
    </row>
    <row r="93" spans="1:12" ht="15">
      <c r="A93" s="45"/>
      <c r="B93" s="62" t="s">
        <v>13</v>
      </c>
      <c r="C93" s="54" t="s">
        <v>164</v>
      </c>
      <c r="D93" s="78"/>
      <c r="E93" s="78"/>
      <c r="F93" s="78">
        <f>D93+E93</f>
        <v>0</v>
      </c>
      <c r="G93" s="78"/>
      <c r="H93" s="78"/>
      <c r="I93" s="283">
        <f>F93-G93</f>
        <v>0</v>
      </c>
    </row>
    <row r="94" spans="1:12" ht="15">
      <c r="A94" s="45"/>
      <c r="B94" s="62" t="s">
        <v>14</v>
      </c>
      <c r="C94" s="54" t="s">
        <v>165</v>
      </c>
      <c r="D94" s="78"/>
      <c r="E94" s="78"/>
      <c r="F94" s="78">
        <f t="shared" ref="F94:F101" si="23">D94+E94</f>
        <v>0</v>
      </c>
      <c r="G94" s="78"/>
      <c r="H94" s="78"/>
      <c r="I94" s="283">
        <f t="shared" ref="I94:I101" si="24">F94-G94</f>
        <v>0</v>
      </c>
    </row>
    <row r="95" spans="1:12" ht="15">
      <c r="A95" s="45"/>
      <c r="B95" s="62" t="s">
        <v>15</v>
      </c>
      <c r="C95" s="54" t="s">
        <v>166</v>
      </c>
      <c r="D95" s="78"/>
      <c r="E95" s="78"/>
      <c r="F95" s="283">
        <f t="shared" si="23"/>
        <v>0</v>
      </c>
      <c r="G95" s="78"/>
      <c r="H95" s="78"/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160000</v>
      </c>
      <c r="E96" s="78">
        <v>-18641.2</v>
      </c>
      <c r="F96" s="78">
        <f t="shared" si="23"/>
        <v>141358.79999999999</v>
      </c>
      <c r="G96" s="78"/>
      <c r="H96" s="78"/>
      <c r="I96" s="283">
        <f t="shared" si="24"/>
        <v>141358.79999999999</v>
      </c>
    </row>
    <row r="97" spans="1:9" ht="15">
      <c r="A97" s="45"/>
      <c r="B97" s="62" t="s">
        <v>17</v>
      </c>
      <c r="C97" s="54" t="s">
        <v>168</v>
      </c>
      <c r="D97" s="78">
        <v>0</v>
      </c>
      <c r="E97" s="78"/>
      <c r="F97" s="78">
        <f t="shared" si="23"/>
        <v>0</v>
      </c>
      <c r="G97" s="78"/>
      <c r="H97" s="78"/>
      <c r="I97" s="283">
        <f t="shared" si="24"/>
        <v>0</v>
      </c>
    </row>
    <row r="98" spans="1:9" ht="15">
      <c r="A98" s="45"/>
      <c r="B98" s="62" t="s">
        <v>18</v>
      </c>
      <c r="C98" s="54" t="s">
        <v>169</v>
      </c>
      <c r="D98" s="78">
        <v>140000</v>
      </c>
      <c r="E98" s="78"/>
      <c r="F98" s="78">
        <f>D98+E98</f>
        <v>140000</v>
      </c>
      <c r="G98" s="78">
        <v>21115.89</v>
      </c>
      <c r="H98" s="78">
        <v>21115.89</v>
      </c>
      <c r="I98" s="283">
        <f t="shared" si="24"/>
        <v>118884.11</v>
      </c>
    </row>
    <row r="99" spans="1:9" ht="15">
      <c r="A99" s="45"/>
      <c r="B99" s="62" t="s">
        <v>61</v>
      </c>
      <c r="C99" s="54" t="s">
        <v>170</v>
      </c>
      <c r="D99" s="78"/>
      <c r="E99" s="78"/>
      <c r="F99" s="78">
        <f t="shared" si="23"/>
        <v>0</v>
      </c>
      <c r="G99" s="78"/>
      <c r="H99" s="78"/>
      <c r="I99" s="283">
        <f t="shared" si="24"/>
        <v>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/>
      <c r="H100" s="78"/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/>
      <c r="E101" s="78"/>
      <c r="F101" s="283">
        <f t="shared" si="23"/>
        <v>0</v>
      </c>
      <c r="G101" s="78"/>
      <c r="H101" s="78"/>
      <c r="I101" s="283">
        <f t="shared" si="24"/>
        <v>0</v>
      </c>
    </row>
    <row r="102" spans="1:9" ht="15">
      <c r="A102" s="50"/>
      <c r="B102" s="55" t="s">
        <v>230</v>
      </c>
      <c r="C102" s="56"/>
      <c r="D102" s="162">
        <f>SUM(D103:D111)</f>
        <v>500000</v>
      </c>
      <c r="E102" s="162">
        <f t="shared" ref="E102:I102" si="25">SUM(E103:E111)</f>
        <v>87634.67</v>
      </c>
      <c r="F102" s="162">
        <f t="shared" si="25"/>
        <v>587634.67000000004</v>
      </c>
      <c r="G102" s="162">
        <f t="shared" si="25"/>
        <v>226941.64</v>
      </c>
      <c r="H102" s="162">
        <f t="shared" si="25"/>
        <v>226941.64</v>
      </c>
      <c r="I102" s="162">
        <f t="shared" si="25"/>
        <v>360693.03</v>
      </c>
    </row>
    <row r="103" spans="1:9" ht="15">
      <c r="A103" s="45"/>
      <c r="B103" s="62" t="s">
        <v>21</v>
      </c>
      <c r="C103" s="54" t="s">
        <v>173</v>
      </c>
      <c r="D103" s="78"/>
      <c r="E103" s="78">
        <v>33141.199999999997</v>
      </c>
      <c r="F103" s="78">
        <f>D103+E103</f>
        <v>33141.199999999997</v>
      </c>
      <c r="G103" s="78">
        <v>33141.199999999997</v>
      </c>
      <c r="H103" s="78">
        <v>33141.199999999997</v>
      </c>
      <c r="I103" s="283">
        <f>F103-G103</f>
        <v>0</v>
      </c>
    </row>
    <row r="104" spans="1:9" ht="15">
      <c r="A104" s="45"/>
      <c r="B104" s="62" t="s">
        <v>22</v>
      </c>
      <c r="C104" s="54" t="s">
        <v>174</v>
      </c>
      <c r="D104" s="78">
        <v>10000</v>
      </c>
      <c r="E104" s="78"/>
      <c r="F104" s="78">
        <f t="shared" ref="F104:F111" si="26">D104+E104</f>
        <v>10000</v>
      </c>
      <c r="G104" s="78"/>
      <c r="H104" s="78"/>
      <c r="I104" s="283">
        <f t="shared" ref="I104:I111" si="27">F104-G104</f>
        <v>10000</v>
      </c>
    </row>
    <row r="105" spans="1:9" ht="15">
      <c r="A105" s="45"/>
      <c r="B105" s="62" t="s">
        <v>23</v>
      </c>
      <c r="C105" s="54" t="s">
        <v>175</v>
      </c>
      <c r="D105" s="78">
        <v>25000</v>
      </c>
      <c r="E105" s="78">
        <v>97513.08</v>
      </c>
      <c r="F105" s="78">
        <f t="shared" si="26"/>
        <v>122513.08</v>
      </c>
      <c r="G105" s="78">
        <v>97513.08</v>
      </c>
      <c r="H105" s="78">
        <v>97513.08</v>
      </c>
      <c r="I105" s="283">
        <f t="shared" si="27"/>
        <v>25000</v>
      </c>
    </row>
    <row r="106" spans="1:9" ht="15">
      <c r="A106" s="45"/>
      <c r="B106" s="62" t="s">
        <v>24</v>
      </c>
      <c r="C106" s="54" t="s">
        <v>176</v>
      </c>
      <c r="D106" s="78">
        <v>10000</v>
      </c>
      <c r="E106" s="78">
        <v>68993.47</v>
      </c>
      <c r="F106" s="78">
        <f t="shared" si="26"/>
        <v>78993.47</v>
      </c>
      <c r="G106" s="78">
        <v>3416.28</v>
      </c>
      <c r="H106" s="78">
        <v>3416.28</v>
      </c>
      <c r="I106" s="283">
        <f t="shared" si="27"/>
        <v>75577.19</v>
      </c>
    </row>
    <row r="107" spans="1:9" ht="15">
      <c r="A107" s="45"/>
      <c r="B107" s="62" t="s">
        <v>25</v>
      </c>
      <c r="C107" s="54" t="s">
        <v>177</v>
      </c>
      <c r="D107" s="78">
        <v>100000</v>
      </c>
      <c r="E107" s="78"/>
      <c r="F107" s="78">
        <f t="shared" si="26"/>
        <v>100000</v>
      </c>
      <c r="G107" s="78">
        <v>92871.08</v>
      </c>
      <c r="H107" s="78">
        <v>92871.08</v>
      </c>
      <c r="I107" s="283">
        <f t="shared" si="27"/>
        <v>7128.9199999999983</v>
      </c>
    </row>
    <row r="108" spans="1:9" ht="15">
      <c r="A108" s="45"/>
      <c r="B108" s="62" t="s">
        <v>225</v>
      </c>
      <c r="C108" s="54" t="s">
        <v>178</v>
      </c>
      <c r="D108" s="78">
        <v>15000</v>
      </c>
      <c r="E108" s="78">
        <v>-14500</v>
      </c>
      <c r="F108" s="78">
        <f t="shared" si="26"/>
        <v>500</v>
      </c>
      <c r="G108" s="78"/>
      <c r="H108" s="78"/>
      <c r="I108" s="283">
        <f t="shared" si="27"/>
        <v>500</v>
      </c>
    </row>
    <row r="109" spans="1:9" ht="15">
      <c r="A109" s="45"/>
      <c r="B109" s="62" t="s">
        <v>226</v>
      </c>
      <c r="C109" s="54" t="s">
        <v>179</v>
      </c>
      <c r="D109" s="78">
        <v>190000</v>
      </c>
      <c r="E109" s="78">
        <v>-65008.72</v>
      </c>
      <c r="F109" s="78">
        <f t="shared" si="26"/>
        <v>124991.28</v>
      </c>
      <c r="G109" s="78"/>
      <c r="H109" s="78"/>
      <c r="I109" s="283">
        <f t="shared" si="27"/>
        <v>124991.28</v>
      </c>
    </row>
    <row r="110" spans="1:9" ht="15">
      <c r="A110" s="45"/>
      <c r="B110" s="62" t="s">
        <v>227</v>
      </c>
      <c r="C110" s="54" t="s">
        <v>180</v>
      </c>
      <c r="D110" s="78">
        <v>150000</v>
      </c>
      <c r="E110" s="78">
        <v>-32504.36</v>
      </c>
      <c r="F110" s="78">
        <f t="shared" si="26"/>
        <v>117495.64</v>
      </c>
      <c r="G110" s="78"/>
      <c r="H110" s="78"/>
      <c r="I110" s="283">
        <f t="shared" si="27"/>
        <v>117495.64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6"/>
        <v>0</v>
      </c>
      <c r="G111" s="78"/>
      <c r="H111" s="78"/>
      <c r="I111" s="283">
        <f t="shared" si="27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0</v>
      </c>
      <c r="F122" s="162">
        <f t="shared" si="29"/>
        <v>0</v>
      </c>
      <c r="G122" s="162">
        <f t="shared" si="29"/>
        <v>0</v>
      </c>
      <c r="H122" s="162">
        <f t="shared" si="29"/>
        <v>0</v>
      </c>
      <c r="I122" s="162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/>
      <c r="H123" s="283"/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30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283">
        <f t="shared" si="30"/>
        <v>0</v>
      </c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30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30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/>
      <c r="F128" s="283">
        <f t="shared" si="30"/>
        <v>0</v>
      </c>
      <c r="G128" s="78"/>
      <c r="H128" s="78"/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30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30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283">
        <f t="shared" si="30"/>
        <v>0</v>
      </c>
      <c r="G131" s="78"/>
      <c r="H131" s="78"/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1">SUM(E133:E135)</f>
        <v>0</v>
      </c>
      <c r="F132" s="162">
        <f t="shared" si="31"/>
        <v>0</v>
      </c>
      <c r="G132" s="162">
        <f t="shared" si="31"/>
        <v>0</v>
      </c>
      <c r="H132" s="162">
        <f t="shared" si="31"/>
        <v>0</v>
      </c>
      <c r="I132" s="162">
        <f t="shared" si="31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2">SUM(E137:E143)</f>
        <v>0</v>
      </c>
      <c r="F136" s="162">
        <f t="shared" si="32"/>
        <v>0</v>
      </c>
      <c r="G136" s="162">
        <f t="shared" si="32"/>
        <v>0</v>
      </c>
      <c r="H136" s="162">
        <f t="shared" si="32"/>
        <v>0</v>
      </c>
      <c r="I136" s="162">
        <f t="shared" si="32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3">SUM(E145:E147)</f>
        <v>0</v>
      </c>
      <c r="F144" s="162">
        <f t="shared" si="33"/>
        <v>0</v>
      </c>
      <c r="G144" s="162">
        <f t="shared" si="33"/>
        <v>0</v>
      </c>
      <c r="H144" s="162">
        <f t="shared" si="33"/>
        <v>0</v>
      </c>
      <c r="I144" s="162">
        <f t="shared" si="33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4">SUM(E149:E155)</f>
        <v>0</v>
      </c>
      <c r="F148" s="162">
        <f t="shared" si="34"/>
        <v>0</v>
      </c>
      <c r="G148" s="162">
        <f t="shared" si="34"/>
        <v>0</v>
      </c>
      <c r="H148" s="162">
        <f t="shared" si="34"/>
        <v>0</v>
      </c>
      <c r="I148" s="162">
        <f t="shared" si="34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19570828</v>
      </c>
      <c r="E156" s="61">
        <f t="shared" ref="E156:I156" si="35">+E10+E83</f>
        <v>932231.19</v>
      </c>
      <c r="F156" s="61">
        <f t="shared" si="35"/>
        <v>20503059.189999998</v>
      </c>
      <c r="G156" s="61">
        <f t="shared" si="35"/>
        <v>6098576.1900000004</v>
      </c>
      <c r="H156" s="61">
        <f>+H10+H83</f>
        <v>6098575.5899999999</v>
      </c>
      <c r="I156" s="61">
        <f t="shared" si="35"/>
        <v>14404483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-163604</v>
      </c>
      <c r="E160" s="318">
        <f t="shared" ref="E160:I160" si="36">E158-E156</f>
        <v>827642.7200000002</v>
      </c>
      <c r="F160" s="318">
        <f t="shared" si="36"/>
        <v>664038.72000000253</v>
      </c>
      <c r="G160" s="318">
        <f t="shared" si="36"/>
        <v>3521824.5299999984</v>
      </c>
      <c r="H160" s="318">
        <f t="shared" si="36"/>
        <v>3446383.8900000006</v>
      </c>
      <c r="I160" s="318">
        <f t="shared" si="36"/>
        <v>-2857785.8100000005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topLeftCell="A7" zoomScale="93" zoomScaleNormal="90" workbookViewId="0">
      <selection activeCell="I30" sqref="I30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77" t="s">
        <v>524</v>
      </c>
      <c r="C2" s="478"/>
      <c r="D2" s="478"/>
      <c r="E2" s="478"/>
      <c r="F2" s="478"/>
      <c r="G2" s="478"/>
      <c r="H2" s="479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0" t="s">
        <v>469</v>
      </c>
      <c r="C3" s="456"/>
      <c r="D3" s="456"/>
      <c r="E3" s="456"/>
      <c r="F3" s="456"/>
      <c r="G3" s="456"/>
      <c r="H3" s="481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2" t="s">
        <v>470</v>
      </c>
      <c r="C4" s="459"/>
      <c r="D4" s="459"/>
      <c r="E4" s="459"/>
      <c r="F4" s="459"/>
      <c r="G4" s="459"/>
      <c r="H4" s="483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2" t="s">
        <v>543</v>
      </c>
      <c r="C5" s="459"/>
      <c r="D5" s="459"/>
      <c r="E5" s="459"/>
      <c r="F5" s="459"/>
      <c r="G5" s="459"/>
      <c r="H5" s="483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4" t="s">
        <v>4</v>
      </c>
      <c r="C6" s="485"/>
      <c r="D6" s="485"/>
      <c r="E6" s="485"/>
      <c r="F6" s="485"/>
      <c r="G6" s="485"/>
      <c r="H6" s="486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4" t="s">
        <v>128</v>
      </c>
      <c r="C8" s="476" t="s">
        <v>455</v>
      </c>
      <c r="D8" s="476"/>
      <c r="E8" s="476"/>
      <c r="F8" s="476"/>
      <c r="G8" s="476"/>
      <c r="H8" s="474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75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75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456</v>
      </c>
      <c r="C10" s="324">
        <f>SUM(C12:C17)</f>
        <v>10146314</v>
      </c>
      <c r="D10" s="324">
        <f t="shared" ref="D10:E10" si="0">SUM(D12:D17)</f>
        <v>863237.72</v>
      </c>
      <c r="E10" s="324">
        <f t="shared" si="0"/>
        <v>11009551.719999999</v>
      </c>
      <c r="F10" s="324">
        <f>SUM(F12:F17)</f>
        <v>3386835.23</v>
      </c>
      <c r="G10" s="324">
        <f>SUM(G12:G17)</f>
        <v>3386834.63</v>
      </c>
      <c r="H10" s="324">
        <f>SUM(H12:H17)</f>
        <v>7622716.4900000002</v>
      </c>
      <c r="J10" s="321"/>
      <c r="K10" s="335"/>
      <c r="L10" s="335"/>
      <c r="M10" s="335" t="s">
        <v>531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525</v>
      </c>
      <c r="C12" s="117">
        <v>222400</v>
      </c>
      <c r="D12" s="117">
        <v>-41965.48</v>
      </c>
      <c r="E12" s="117">
        <f>C12+D12</f>
        <v>180434.52</v>
      </c>
      <c r="F12" s="372">
        <v>60448.84</v>
      </c>
      <c r="G12" s="117">
        <v>60448.84</v>
      </c>
      <c r="H12" s="117">
        <f>E12-F12</f>
        <v>119985.68</v>
      </c>
      <c r="I12" s="118"/>
      <c r="J12" s="322"/>
      <c r="K12" s="335">
        <f>F12*100/$F$10</f>
        <v>1.784817857820618</v>
      </c>
      <c r="L12" s="335"/>
      <c r="M12" s="336">
        <v>13832.99</v>
      </c>
      <c r="N12" s="335"/>
      <c r="O12" s="336">
        <f>F12-M12</f>
        <v>46615.85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526</v>
      </c>
      <c r="C13" s="117">
        <v>4338244</v>
      </c>
      <c r="D13" s="117">
        <v>836072.81</v>
      </c>
      <c r="E13" s="117">
        <f t="shared" ref="E13:E17" si="1">C13+D13</f>
        <v>5174316.8100000005</v>
      </c>
      <c r="F13" s="117">
        <v>3134200.77</v>
      </c>
      <c r="G13" s="117">
        <v>3134200.17</v>
      </c>
      <c r="H13" s="117">
        <f t="shared" ref="H13:H17" si="2">E13-F13</f>
        <v>2040116.0400000005</v>
      </c>
      <c r="I13" s="118"/>
      <c r="J13" s="322"/>
      <c r="K13" s="335">
        <f t="shared" ref="K13:K17" si="3">F13*100/$F$10</f>
        <v>92.54069233241087</v>
      </c>
      <c r="L13" s="335"/>
      <c r="M13" s="336">
        <v>17584.63</v>
      </c>
      <c r="N13" s="335"/>
      <c r="O13" s="336">
        <f t="shared" ref="O13:O17" si="4">F13-M13</f>
        <v>3116616.14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527</v>
      </c>
      <c r="C14" s="117">
        <v>5527670</v>
      </c>
      <c r="D14" s="117">
        <v>-15894.66</v>
      </c>
      <c r="E14" s="117">
        <f t="shared" si="1"/>
        <v>5511775.3399999999</v>
      </c>
      <c r="F14" s="117">
        <v>59996.57</v>
      </c>
      <c r="G14" s="117">
        <v>59996.57</v>
      </c>
      <c r="H14" s="117">
        <f t="shared" si="2"/>
        <v>5451778.7699999996</v>
      </c>
      <c r="I14" s="118"/>
      <c r="J14" s="322"/>
      <c r="K14" s="335">
        <f t="shared" si="3"/>
        <v>1.7714640933388426</v>
      </c>
      <c r="L14" s="335"/>
      <c r="M14" s="336">
        <v>144064.66</v>
      </c>
      <c r="N14" s="335"/>
      <c r="O14" s="336">
        <f t="shared" si="4"/>
        <v>-84068.09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528</v>
      </c>
      <c r="C15" s="117">
        <v>0</v>
      </c>
      <c r="D15" s="117">
        <v>734.7</v>
      </c>
      <c r="E15" s="117">
        <f t="shared" si="1"/>
        <v>734.7</v>
      </c>
      <c r="F15" s="117">
        <v>734.7</v>
      </c>
      <c r="G15" s="117">
        <v>734.7</v>
      </c>
      <c r="H15" s="117">
        <f t="shared" si="2"/>
        <v>0</v>
      </c>
      <c r="I15" s="118"/>
      <c r="J15" s="322"/>
      <c r="K15" s="335">
        <f t="shared" si="3"/>
        <v>2.1692817929025734E-2</v>
      </c>
      <c r="L15" s="335"/>
      <c r="M15" s="336">
        <v>4971.8599999999997</v>
      </c>
      <c r="N15" s="335"/>
      <c r="O15" s="336">
        <f t="shared" si="4"/>
        <v>-4237.16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530</v>
      </c>
      <c r="C16" s="117">
        <v>47000</v>
      </c>
      <c r="D16" s="117">
        <v>74980.52</v>
      </c>
      <c r="E16" s="117">
        <f t="shared" si="1"/>
        <v>121980.52</v>
      </c>
      <c r="F16" s="117">
        <v>111144.52</v>
      </c>
      <c r="G16" s="117">
        <v>111144.52</v>
      </c>
      <c r="H16" s="117">
        <f t="shared" si="2"/>
        <v>10836</v>
      </c>
      <c r="J16" s="323"/>
      <c r="K16" s="335">
        <f t="shared" si="3"/>
        <v>3.2816630409268539</v>
      </c>
      <c r="L16" s="337"/>
      <c r="M16" s="336">
        <v>11448.32</v>
      </c>
      <c r="N16" s="337"/>
      <c r="O16" s="336">
        <f t="shared" si="4"/>
        <v>99696.200000000012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529</v>
      </c>
      <c r="C17" s="117">
        <v>11000</v>
      </c>
      <c r="D17" s="117">
        <v>9309.83</v>
      </c>
      <c r="E17" s="117">
        <f t="shared" si="1"/>
        <v>20309.830000000002</v>
      </c>
      <c r="F17" s="117">
        <v>20309.830000000002</v>
      </c>
      <c r="G17" s="117">
        <v>20309.830000000002</v>
      </c>
      <c r="H17" s="117">
        <f t="shared" si="2"/>
        <v>0</v>
      </c>
      <c r="K17" s="335">
        <f t="shared" si="3"/>
        <v>0.59966985757379176</v>
      </c>
      <c r="L17" s="338"/>
      <c r="M17" s="336">
        <v>9681.73</v>
      </c>
      <c r="N17" s="338"/>
      <c r="O17" s="336">
        <f t="shared" si="4"/>
        <v>10628.100000000002</v>
      </c>
      <c r="P17" s="338"/>
      <c r="Q17" s="338"/>
      <c r="R17" s="338"/>
      <c r="S17" s="338"/>
    </row>
    <row r="18" spans="2:19" s="119" customFormat="1">
      <c r="B18" s="189"/>
      <c r="C18" s="117"/>
      <c r="D18" s="117"/>
      <c r="E18" s="117"/>
      <c r="F18" s="117"/>
      <c r="G18" s="117"/>
      <c r="H18" s="117"/>
      <c r="K18" s="338">
        <f>SUM(K12:K17)</f>
        <v>100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471</v>
      </c>
      <c r="C21" s="122">
        <f>SUM(C22:C27)</f>
        <v>9424514</v>
      </c>
      <c r="D21" s="122">
        <f>SUM(D22:D27)</f>
        <v>68993.47</v>
      </c>
      <c r="E21" s="122">
        <f>SUM(E22:E27)</f>
        <v>9493507.4700000007</v>
      </c>
      <c r="F21" s="122">
        <f>SUM(F22:F27)</f>
        <v>2711740.96</v>
      </c>
      <c r="G21" s="122">
        <f>SUM(G22:G27)</f>
        <v>2711740.96</v>
      </c>
      <c r="H21" s="122">
        <f t="shared" ref="H21:H27" si="5">E21-F21</f>
        <v>6781766.5100000007</v>
      </c>
      <c r="I21" s="123"/>
      <c r="K21" s="340"/>
      <c r="L21" s="340"/>
      <c r="M21" s="340" t="s">
        <v>532</v>
      </c>
      <c r="N21" s="340"/>
      <c r="O21" s="340"/>
      <c r="P21" s="340"/>
      <c r="Q21" s="340" t="s">
        <v>533</v>
      </c>
      <c r="R21" s="340"/>
      <c r="S21" s="340"/>
    </row>
    <row r="22" spans="2:19" s="126" customFormat="1">
      <c r="B22" s="270" t="s">
        <v>525</v>
      </c>
      <c r="C22" s="125">
        <v>0</v>
      </c>
      <c r="D22" s="125">
        <v>3431.39</v>
      </c>
      <c r="E22" s="125">
        <f>C22+D22</f>
        <v>3431.39</v>
      </c>
      <c r="F22" s="125">
        <v>3431.39</v>
      </c>
      <c r="G22" s="125">
        <v>3431.39</v>
      </c>
      <c r="H22" s="125">
        <f t="shared" si="5"/>
        <v>0</v>
      </c>
      <c r="I22" s="118"/>
      <c r="K22" s="341">
        <f>F22*100/$F$21</f>
        <v>0.12653826639842472</v>
      </c>
      <c r="L22" s="341"/>
      <c r="M22" s="341">
        <v>16252.18</v>
      </c>
      <c r="N22" s="341"/>
      <c r="O22" s="342">
        <f>O12-M22</f>
        <v>30363.67</v>
      </c>
      <c r="P22" s="341"/>
      <c r="Q22" s="341">
        <v>173.83</v>
      </c>
      <c r="R22" s="341"/>
      <c r="S22" s="342">
        <f>O22-Q22</f>
        <v>30189.839999999997</v>
      </c>
    </row>
    <row r="23" spans="2:19" s="126" customFormat="1">
      <c r="B23" s="270" t="s">
        <v>526</v>
      </c>
      <c r="C23" s="125">
        <v>9324514</v>
      </c>
      <c r="D23" s="125">
        <v>69619.48</v>
      </c>
      <c r="E23" s="125">
        <f t="shared" ref="E23:E27" si="6">C23+D23</f>
        <v>9394133.4800000004</v>
      </c>
      <c r="F23" s="125">
        <v>2697866.97</v>
      </c>
      <c r="G23" s="125">
        <v>2697866.97</v>
      </c>
      <c r="H23" s="125">
        <f t="shared" si="5"/>
        <v>6696266.5099999998</v>
      </c>
      <c r="I23" s="118"/>
      <c r="K23" s="341">
        <f t="shared" ref="K23:K27" si="7">F23*100/$F$21</f>
        <v>99.48837332899231</v>
      </c>
      <c r="L23" s="341"/>
      <c r="M23" s="341">
        <v>16252.18</v>
      </c>
      <c r="N23" s="341"/>
      <c r="O23" s="342">
        <f t="shared" ref="O23:O28" si="8">O13-M23</f>
        <v>3100363.96</v>
      </c>
      <c r="P23" s="341"/>
      <c r="Q23" s="341">
        <v>173.83</v>
      </c>
      <c r="R23" s="341"/>
      <c r="S23" s="342">
        <f t="shared" ref="S23:S27" si="9">O23-Q23</f>
        <v>3100190.13</v>
      </c>
    </row>
    <row r="24" spans="2:19" s="126" customFormat="1">
      <c r="B24" s="270" t="s">
        <v>527</v>
      </c>
      <c r="C24" s="125">
        <v>100000</v>
      </c>
      <c r="D24" s="125">
        <v>-11144.49</v>
      </c>
      <c r="E24" s="125">
        <f t="shared" si="6"/>
        <v>88855.51</v>
      </c>
      <c r="F24" s="125">
        <v>3355.51</v>
      </c>
      <c r="G24" s="125">
        <v>3355.51</v>
      </c>
      <c r="H24" s="125">
        <f t="shared" si="5"/>
        <v>85500</v>
      </c>
      <c r="K24" s="341">
        <f t="shared" si="7"/>
        <v>0.12374006402145432</v>
      </c>
      <c r="L24" s="341"/>
      <c r="M24" s="341">
        <v>16252.18</v>
      </c>
      <c r="N24" s="341"/>
      <c r="O24" s="342">
        <f t="shared" si="8"/>
        <v>-100320.26999999999</v>
      </c>
      <c r="P24" s="341"/>
      <c r="Q24" s="341">
        <v>173.83</v>
      </c>
      <c r="R24" s="341"/>
      <c r="S24" s="342">
        <f t="shared" si="9"/>
        <v>-100494.09999999999</v>
      </c>
    </row>
    <row r="25" spans="2:19" s="126" customFormat="1">
      <c r="B25" s="270" t="s">
        <v>528</v>
      </c>
      <c r="C25" s="125"/>
      <c r="D25" s="125">
        <v>250</v>
      </c>
      <c r="E25" s="125">
        <f t="shared" si="6"/>
        <v>250</v>
      </c>
      <c r="F25" s="125">
        <v>250</v>
      </c>
      <c r="G25" s="125">
        <v>250</v>
      </c>
      <c r="H25" s="125">
        <f t="shared" si="5"/>
        <v>0</v>
      </c>
      <c r="K25" s="341">
        <f t="shared" si="7"/>
        <v>9.2191696658223583E-3</v>
      </c>
      <c r="L25" s="341"/>
      <c r="M25" s="341">
        <v>16252.18</v>
      </c>
      <c r="N25" s="341"/>
      <c r="O25" s="342">
        <f t="shared" si="8"/>
        <v>-20489.34</v>
      </c>
      <c r="P25" s="341"/>
      <c r="Q25" s="341">
        <v>173.83</v>
      </c>
      <c r="R25" s="341"/>
      <c r="S25" s="342">
        <f t="shared" si="9"/>
        <v>-20663.170000000002</v>
      </c>
    </row>
    <row r="26" spans="2:19" s="126" customFormat="1">
      <c r="B26" s="270" t="s">
        <v>530</v>
      </c>
      <c r="C26" s="125"/>
      <c r="D26" s="125">
        <v>6837.09</v>
      </c>
      <c r="E26" s="125">
        <f t="shared" si="6"/>
        <v>6837.09</v>
      </c>
      <c r="F26" s="125">
        <v>6837.09</v>
      </c>
      <c r="G26" s="125">
        <v>6837.09</v>
      </c>
      <c r="H26" s="125">
        <f t="shared" si="5"/>
        <v>0</v>
      </c>
      <c r="K26" s="341">
        <f t="shared" si="7"/>
        <v>0.25212917092198955</v>
      </c>
      <c r="L26" s="341"/>
      <c r="M26" s="341">
        <v>16252.18</v>
      </c>
      <c r="N26" s="341"/>
      <c r="O26" s="342">
        <f t="shared" si="8"/>
        <v>83444.020000000019</v>
      </c>
      <c r="P26" s="341"/>
      <c r="Q26" s="341">
        <v>173.84</v>
      </c>
      <c r="R26" s="341"/>
      <c r="S26" s="342">
        <f t="shared" si="9"/>
        <v>83270.180000000022</v>
      </c>
    </row>
    <row r="27" spans="2:19" s="126" customFormat="1">
      <c r="B27" s="270" t="s">
        <v>529</v>
      </c>
      <c r="C27" s="125"/>
      <c r="D27" s="125"/>
      <c r="E27" s="125">
        <f t="shared" si="6"/>
        <v>0</v>
      </c>
      <c r="F27" s="125"/>
      <c r="G27" s="125"/>
      <c r="H27" s="125">
        <f t="shared" si="5"/>
        <v>0</v>
      </c>
      <c r="K27" s="341">
        <f t="shared" si="7"/>
        <v>0</v>
      </c>
      <c r="L27" s="341"/>
      <c r="M27" s="341">
        <v>16252.18</v>
      </c>
      <c r="N27" s="341"/>
      <c r="O27" s="342">
        <f t="shared" si="8"/>
        <v>-5624.0799999999981</v>
      </c>
      <c r="P27" s="341"/>
      <c r="Q27" s="341">
        <v>173.84</v>
      </c>
      <c r="R27" s="341"/>
      <c r="S27" s="342">
        <f t="shared" si="9"/>
        <v>-5797.9199999999983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358.02915777029085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472</v>
      </c>
      <c r="C30" s="128">
        <f>C10+C21</f>
        <v>19570828</v>
      </c>
      <c r="D30" s="128">
        <f t="shared" ref="D30:F30" si="11">D10+D21</f>
        <v>932231.19</v>
      </c>
      <c r="E30" s="128">
        <f t="shared" si="11"/>
        <v>20503059.189999998</v>
      </c>
      <c r="F30" s="128">
        <f t="shared" si="11"/>
        <v>6098576.1899999995</v>
      </c>
      <c r="G30" s="128">
        <f>G10+G21</f>
        <v>6098575.5899999999</v>
      </c>
      <c r="H30" s="128">
        <f>H10+H21</f>
        <v>14404483</v>
      </c>
      <c r="K30" s="271">
        <f>SUM(K22:K27)</f>
        <v>100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19570828</v>
      </c>
      <c r="D35" s="330">
        <f t="shared" ref="D35:H35" si="12">D10+D21</f>
        <v>932231.19</v>
      </c>
      <c r="E35" s="330">
        <f t="shared" si="12"/>
        <v>20503059.189999998</v>
      </c>
      <c r="F35" s="330">
        <f t="shared" si="12"/>
        <v>6098576.1899999995</v>
      </c>
      <c r="G35" s="330">
        <f t="shared" si="12"/>
        <v>6098575.5899999999</v>
      </c>
      <c r="H35" s="330">
        <f t="shared" si="12"/>
        <v>14404483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-349566</v>
      </c>
      <c r="D37" s="330">
        <f t="shared" ref="D37:H37" si="13">D33-D35</f>
        <v>-4018265.63</v>
      </c>
      <c r="E37" s="330">
        <f t="shared" si="13"/>
        <v>-4367831.629999999</v>
      </c>
      <c r="F37" s="330">
        <f t="shared" si="13"/>
        <v>9756781.4199999999</v>
      </c>
      <c r="G37" s="330">
        <f t="shared" si="13"/>
        <v>9476580.9100000001</v>
      </c>
      <c r="H37" s="330">
        <f t="shared" si="13"/>
        <v>-14124613.050000001</v>
      </c>
    </row>
    <row r="38" spans="3:9" hidden="1">
      <c r="C38" s="272">
        <f>C37-C10</f>
        <v>-10495880</v>
      </c>
      <c r="D38" s="273">
        <f>C38/6</f>
        <v>-1749313.3333333333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63880.229999999996</v>
      </c>
      <c r="F43" s="272"/>
      <c r="G43" s="272">
        <f>F30-G30</f>
        <v>0.59999999962747097</v>
      </c>
      <c r="H43" s="272"/>
      <c r="I43" s="130"/>
    </row>
    <row r="44" spans="3:9">
      <c r="C44" s="272">
        <f>C42-C30</f>
        <v>-163604</v>
      </c>
      <c r="D44" s="272">
        <f t="shared" ref="D44:H44" si="14">D42-D30</f>
        <v>827642.7200000002</v>
      </c>
      <c r="E44" s="272">
        <f t="shared" si="14"/>
        <v>664038.72000000253</v>
      </c>
      <c r="F44" s="272">
        <f t="shared" si="14"/>
        <v>3521824.5299999993</v>
      </c>
      <c r="G44" s="272">
        <f t="shared" si="14"/>
        <v>3446383.8900000006</v>
      </c>
      <c r="H44" s="272">
        <f t="shared" si="14"/>
        <v>-2857785.8100000005</v>
      </c>
      <c r="I44" s="130"/>
    </row>
    <row r="45" spans="3:9">
      <c r="E45" s="272">
        <f t="shared" ref="E45:E48" si="15">G14+G24</f>
        <v>63352.08</v>
      </c>
      <c r="F45" s="271"/>
      <c r="G45" s="273">
        <v>201584.19</v>
      </c>
    </row>
    <row r="46" spans="3:9">
      <c r="E46" s="272">
        <f t="shared" si="15"/>
        <v>984.7</v>
      </c>
      <c r="F46" s="271"/>
      <c r="G46" s="273">
        <v>97513.08</v>
      </c>
    </row>
    <row r="47" spans="3:9">
      <c r="E47" s="272">
        <f t="shared" si="15"/>
        <v>117981.61</v>
      </c>
      <c r="F47" s="271"/>
      <c r="G47" s="273">
        <v>1043</v>
      </c>
    </row>
    <row r="48" spans="3:9">
      <c r="E48" s="272">
        <f t="shared" si="15"/>
        <v>20309.830000000002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topLeftCell="A49" workbookViewId="0">
      <selection activeCell="I77" sqref="I77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89" t="s">
        <v>524</v>
      </c>
      <c r="C2" s="490"/>
      <c r="D2" s="490"/>
      <c r="E2" s="490"/>
      <c r="F2" s="490"/>
      <c r="G2" s="490"/>
      <c r="H2" s="490"/>
      <c r="I2" s="491"/>
    </row>
    <row r="3" spans="1:9" s="154" customFormat="1" ht="15">
      <c r="B3" s="492" t="s">
        <v>365</v>
      </c>
      <c r="C3" s="493"/>
      <c r="D3" s="493"/>
      <c r="E3" s="493"/>
      <c r="F3" s="493"/>
      <c r="G3" s="493"/>
      <c r="H3" s="493"/>
      <c r="I3" s="494"/>
    </row>
    <row r="4" spans="1:9" s="154" customFormat="1" ht="15">
      <c r="B4" s="492" t="s">
        <v>473</v>
      </c>
      <c r="C4" s="493"/>
      <c r="D4" s="493"/>
      <c r="E4" s="493"/>
      <c r="F4" s="493"/>
      <c r="G4" s="493"/>
      <c r="H4" s="493"/>
      <c r="I4" s="494"/>
    </row>
    <row r="5" spans="1:9" s="154" customFormat="1" ht="15">
      <c r="B5" s="492" t="s">
        <v>543</v>
      </c>
      <c r="C5" s="493"/>
      <c r="D5" s="493"/>
      <c r="E5" s="493"/>
      <c r="F5" s="493"/>
      <c r="G5" s="493"/>
      <c r="H5" s="493"/>
      <c r="I5" s="494"/>
    </row>
    <row r="6" spans="1:9" s="154" customFormat="1" ht="15.75" thickBot="1">
      <c r="B6" s="495" t="s">
        <v>4</v>
      </c>
      <c r="C6" s="496"/>
      <c r="D6" s="496"/>
      <c r="E6" s="496"/>
      <c r="F6" s="496"/>
      <c r="G6" s="496"/>
      <c r="H6" s="496"/>
      <c r="I6" s="497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89" t="s">
        <v>128</v>
      </c>
      <c r="C8" s="498"/>
      <c r="D8" s="500" t="s">
        <v>455</v>
      </c>
      <c r="E8" s="501"/>
      <c r="F8" s="501"/>
      <c r="G8" s="501"/>
      <c r="H8" s="502"/>
      <c r="I8" s="503" t="s">
        <v>149</v>
      </c>
    </row>
    <row r="9" spans="1:9" s="154" customFormat="1" ht="30.75" thickBot="1">
      <c r="B9" s="495"/>
      <c r="C9" s="499"/>
      <c r="D9" s="185" t="s">
        <v>474</v>
      </c>
      <c r="E9" s="185" t="s">
        <v>475</v>
      </c>
      <c r="F9" s="185" t="s">
        <v>476</v>
      </c>
      <c r="G9" s="185" t="s">
        <v>153</v>
      </c>
      <c r="H9" s="185" t="s">
        <v>154</v>
      </c>
      <c r="I9" s="504"/>
    </row>
    <row r="10" spans="1:9" ht="7.9" customHeight="1">
      <c r="B10" s="487"/>
      <c r="C10" s="488"/>
      <c r="D10" s="132"/>
      <c r="E10" s="132"/>
      <c r="F10" s="132"/>
      <c r="G10" s="132"/>
      <c r="H10" s="132"/>
      <c r="I10" s="132"/>
    </row>
    <row r="11" spans="1:9" ht="14.45" customHeight="1">
      <c r="B11" s="133" t="s">
        <v>477</v>
      </c>
      <c r="C11" s="134"/>
      <c r="D11" s="282">
        <f>D12+D21+D29+D39</f>
        <v>10146314</v>
      </c>
      <c r="E11" s="282">
        <f t="shared" ref="E11:H11" si="0">E12+E21+E29+E39</f>
        <v>863237.72</v>
      </c>
      <c r="F11" s="282">
        <f t="shared" si="0"/>
        <v>11009551.719999999</v>
      </c>
      <c r="G11" s="282">
        <f t="shared" si="0"/>
        <v>3386835.23</v>
      </c>
      <c r="H11" s="282">
        <f t="shared" si="0"/>
        <v>3386834.63</v>
      </c>
      <c r="I11" s="310">
        <f>F11-G11</f>
        <v>7622716.4899999984</v>
      </c>
    </row>
    <row r="12" spans="1:9" ht="15">
      <c r="B12" s="133" t="s">
        <v>478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479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480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481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482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483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484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485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486</v>
      </c>
      <c r="D20" s="275"/>
      <c r="E20" s="276"/>
      <c r="F20" s="276"/>
      <c r="G20" s="276"/>
      <c r="H20" s="276"/>
      <c r="I20" s="139"/>
    </row>
    <row r="21" spans="2:9" ht="15">
      <c r="B21" s="133" t="s">
        <v>487</v>
      </c>
      <c r="C21" s="134"/>
      <c r="D21" s="309">
        <f>SUM(D22:D28)</f>
        <v>10146314</v>
      </c>
      <c r="E21" s="309">
        <f t="shared" ref="E21:H21" si="2">SUM(E22:E28)</f>
        <v>863237.72</v>
      </c>
      <c r="F21" s="309">
        <f t="shared" si="2"/>
        <v>11009551.719999999</v>
      </c>
      <c r="G21" s="309">
        <f t="shared" si="2"/>
        <v>3386835.23</v>
      </c>
      <c r="H21" s="309">
        <f t="shared" si="2"/>
        <v>3386834.63</v>
      </c>
      <c r="I21" s="309">
        <f>F21-G21</f>
        <v>7622716.4899999984</v>
      </c>
    </row>
    <row r="22" spans="2:9" ht="15">
      <c r="B22" s="137"/>
      <c r="C22" s="138" t="s">
        <v>488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489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490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491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492</v>
      </c>
      <c r="D26" s="311">
        <f>'F6a. EAEPE OG'!D10</f>
        <v>10146314</v>
      </c>
      <c r="E26" s="308">
        <f>'F6a. EAEPE OG'!E10</f>
        <v>863237.72</v>
      </c>
      <c r="F26" s="308">
        <f>'F6a. EAEPE OG'!F10</f>
        <v>11009551.719999999</v>
      </c>
      <c r="G26" s="308">
        <f>'F6a. EAEPE OG'!G10</f>
        <v>3386835.23</v>
      </c>
      <c r="H26" s="308">
        <f>'F6a. EAEPE OG'!H10</f>
        <v>3386834.63</v>
      </c>
      <c r="I26" s="308">
        <f>F26-G26</f>
        <v>7622716.4899999984</v>
      </c>
    </row>
    <row r="27" spans="2:9" ht="15">
      <c r="B27" s="137"/>
      <c r="C27" s="138" t="s">
        <v>493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494</v>
      </c>
      <c r="D28" s="275"/>
      <c r="E28" s="276"/>
      <c r="F28" s="276"/>
      <c r="G28" s="276"/>
      <c r="H28" s="276"/>
      <c r="I28" s="139"/>
    </row>
    <row r="29" spans="2:9" ht="15">
      <c r="B29" s="141" t="s">
        <v>495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496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497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498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499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500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501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502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503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504</v>
      </c>
      <c r="D38" s="275"/>
      <c r="E38" s="276"/>
      <c r="F38" s="276"/>
      <c r="G38" s="276"/>
      <c r="H38" s="276"/>
      <c r="I38" s="139"/>
    </row>
    <row r="39" spans="2:9" ht="15">
      <c r="B39" s="141" t="s">
        <v>505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506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507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508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509</v>
      </c>
      <c r="D43" s="275"/>
      <c r="E43" s="276"/>
      <c r="F43" s="276"/>
      <c r="G43" s="276"/>
      <c r="H43" s="276"/>
      <c r="I43" s="139"/>
    </row>
    <row r="44" spans="2:9" ht="15">
      <c r="B44" s="133" t="s">
        <v>510</v>
      </c>
      <c r="C44" s="134"/>
      <c r="D44" s="282">
        <f>D45+D54+D62+D72</f>
        <v>9424514</v>
      </c>
      <c r="E44" s="282">
        <f t="shared" ref="E44:H44" si="5">E45+E54+E62+E72</f>
        <v>68993.47</v>
      </c>
      <c r="F44" s="282">
        <f t="shared" si="5"/>
        <v>9493507.4700000007</v>
      </c>
      <c r="G44" s="282">
        <f t="shared" si="5"/>
        <v>2711740.9600000004</v>
      </c>
      <c r="H44" s="282">
        <f t="shared" si="5"/>
        <v>2711740.9600000004</v>
      </c>
      <c r="I44" s="282">
        <f>F44-G44</f>
        <v>6781766.5099999998</v>
      </c>
    </row>
    <row r="45" spans="2:9" ht="15">
      <c r="B45" s="145" t="s">
        <v>478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479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480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481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482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483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484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485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486</v>
      </c>
      <c r="D53" s="275"/>
      <c r="E53" s="276"/>
      <c r="F53" s="276"/>
      <c r="G53" s="276"/>
      <c r="H53" s="276"/>
      <c r="I53" s="139"/>
    </row>
    <row r="54" spans="2:9" ht="15">
      <c r="B54" s="133" t="s">
        <v>487</v>
      </c>
      <c r="C54" s="134"/>
      <c r="D54" s="309">
        <f>SUM(D55:D61)</f>
        <v>9424514</v>
      </c>
      <c r="E54" s="312">
        <f t="shared" ref="E54:H54" si="6">SUM(E55:E61)</f>
        <v>68993.47</v>
      </c>
      <c r="F54" s="312">
        <f t="shared" si="6"/>
        <v>9493507.4700000007</v>
      </c>
      <c r="G54" s="312">
        <f t="shared" si="6"/>
        <v>2711740.9600000004</v>
      </c>
      <c r="H54" s="312">
        <f t="shared" si="6"/>
        <v>2711740.9600000004</v>
      </c>
      <c r="I54" s="312">
        <f>F54-G54</f>
        <v>6781766.5099999998</v>
      </c>
    </row>
    <row r="55" spans="2:9" ht="15">
      <c r="B55" s="137"/>
      <c r="C55" s="361" t="s">
        <v>488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489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490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491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492</v>
      </c>
      <c r="D59" s="311">
        <f>'F6a. EAEPE OG'!D83</f>
        <v>9424514</v>
      </c>
      <c r="E59" s="313">
        <f>'F6a. EAEPE OG'!E83</f>
        <v>68993.47</v>
      </c>
      <c r="F59" s="313">
        <f>'F6a. EAEPE OG'!F83</f>
        <v>9493507.4700000007</v>
      </c>
      <c r="G59" s="313">
        <f>'F6a. EAEPE OG'!G83</f>
        <v>2711740.9600000004</v>
      </c>
      <c r="H59" s="313">
        <f>'F6a. EAEPE OG'!H83</f>
        <v>2711740.9600000004</v>
      </c>
      <c r="I59" s="313">
        <f>F59-G59</f>
        <v>6781766.5099999998</v>
      </c>
    </row>
    <row r="60" spans="2:9" ht="15">
      <c r="B60" s="137"/>
      <c r="C60" s="361" t="s">
        <v>493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494</v>
      </c>
      <c r="D61" s="363"/>
      <c r="E61" s="279"/>
      <c r="F61" s="279"/>
      <c r="G61" s="279"/>
      <c r="H61" s="279"/>
      <c r="I61" s="140"/>
    </row>
    <row r="62" spans="2:9" ht="15">
      <c r="B62" s="141" t="s">
        <v>495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496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497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498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499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500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501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502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503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504</v>
      </c>
      <c r="D71" s="363"/>
      <c r="E71" s="279"/>
      <c r="F71" s="279"/>
      <c r="G71" s="279"/>
      <c r="H71" s="279"/>
      <c r="I71" s="140"/>
    </row>
    <row r="72" spans="2:9" ht="15">
      <c r="B72" s="141" t="s">
        <v>505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506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507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508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509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511</v>
      </c>
      <c r="C77" s="148"/>
      <c r="D77" s="281">
        <f>D11+D44</f>
        <v>19570828</v>
      </c>
      <c r="E77" s="281">
        <f t="shared" ref="E77:H77" si="9">E11+E44</f>
        <v>932231.19</v>
      </c>
      <c r="F77" s="281">
        <f t="shared" si="9"/>
        <v>20503059.189999998</v>
      </c>
      <c r="G77" s="281">
        <f t="shared" si="9"/>
        <v>6098576.1900000004</v>
      </c>
      <c r="H77" s="281">
        <f t="shared" si="9"/>
        <v>6098575.5899999999</v>
      </c>
      <c r="I77" s="314">
        <f>I11+I44</f>
        <v>14404482.999999998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-163604</v>
      </c>
      <c r="E81" s="329">
        <f t="shared" ref="E81:I81" si="10">E79-E77</f>
        <v>827642.7200000002</v>
      </c>
      <c r="F81" s="329">
        <f t="shared" si="10"/>
        <v>664038.72000000253</v>
      </c>
      <c r="G81" s="329">
        <f t="shared" si="10"/>
        <v>3521824.5299999984</v>
      </c>
      <c r="H81" s="329">
        <f t="shared" si="10"/>
        <v>3446383.8900000006</v>
      </c>
      <c r="I81" s="329">
        <f t="shared" si="10"/>
        <v>-2857785.8099999987</v>
      </c>
    </row>
    <row r="82" spans="4:9" s="317" customFormat="1">
      <c r="D82" s="329"/>
      <c r="E82" s="329">
        <f>E80-E77</f>
        <v>-4048265.7299999995</v>
      </c>
      <c r="F82" s="329">
        <f t="shared" ref="F82:I82" si="11">F80-F77</f>
        <v>-4397831.7299999967</v>
      </c>
      <c r="G82" s="329">
        <f t="shared" si="11"/>
        <v>9756781.4199999981</v>
      </c>
      <c r="H82" s="329">
        <f t="shared" si="11"/>
        <v>9670363.3699999992</v>
      </c>
      <c r="I82" s="329">
        <f t="shared" si="11"/>
        <v>-14154613.149999999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tabSelected="1" workbookViewId="0">
      <selection activeCell="G40" sqref="G40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08" t="s">
        <v>524</v>
      </c>
      <c r="C2" s="509"/>
      <c r="D2" s="509"/>
      <c r="E2" s="509"/>
      <c r="F2" s="509"/>
      <c r="G2" s="509"/>
      <c r="H2" s="510"/>
    </row>
    <row r="3" spans="2:8" s="159" customFormat="1">
      <c r="B3" s="511" t="s">
        <v>365</v>
      </c>
      <c r="C3" s="512"/>
      <c r="D3" s="512"/>
      <c r="E3" s="512"/>
      <c r="F3" s="512"/>
      <c r="G3" s="512"/>
      <c r="H3" s="513"/>
    </row>
    <row r="4" spans="2:8" s="159" customFormat="1">
      <c r="B4" s="511" t="s">
        <v>454</v>
      </c>
      <c r="C4" s="512"/>
      <c r="D4" s="512"/>
      <c r="E4" s="512"/>
      <c r="F4" s="512"/>
      <c r="G4" s="512"/>
      <c r="H4" s="513"/>
    </row>
    <row r="5" spans="2:8" s="159" customFormat="1">
      <c r="B5" s="511" t="s">
        <v>545</v>
      </c>
      <c r="C5" s="512"/>
      <c r="D5" s="512"/>
      <c r="E5" s="512"/>
      <c r="F5" s="512"/>
      <c r="G5" s="512"/>
      <c r="H5" s="513"/>
    </row>
    <row r="6" spans="2:8" s="159" customFormat="1" ht="13.5" thickBot="1">
      <c r="B6" s="514" t="s">
        <v>4</v>
      </c>
      <c r="C6" s="515"/>
      <c r="D6" s="515"/>
      <c r="E6" s="515"/>
      <c r="F6" s="515"/>
      <c r="G6" s="515"/>
      <c r="H6" s="516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05" t="s">
        <v>128</v>
      </c>
      <c r="C8" s="507" t="s">
        <v>455</v>
      </c>
      <c r="D8" s="507"/>
      <c r="E8" s="507"/>
      <c r="F8" s="507"/>
      <c r="G8" s="507"/>
      <c r="H8" s="507" t="s">
        <v>149</v>
      </c>
    </row>
    <row r="9" spans="2:8" s="159" customFormat="1" ht="26.25" thickBot="1">
      <c r="B9" s="506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07"/>
    </row>
    <row r="10" spans="2:8">
      <c r="B10" s="101" t="s">
        <v>456</v>
      </c>
      <c r="C10" s="102">
        <f>C11+C12+C13+C16+C17+C20</f>
        <v>10146314</v>
      </c>
      <c r="D10" s="102">
        <f t="shared" ref="D10:G10" si="0">D11+D12+D13+D16+D17+D20</f>
        <v>863237.72</v>
      </c>
      <c r="E10" s="102">
        <f t="shared" si="0"/>
        <v>11009551.720000001</v>
      </c>
      <c r="F10" s="102">
        <f t="shared" si="0"/>
        <v>3386835.23</v>
      </c>
      <c r="G10" s="102">
        <f t="shared" si="0"/>
        <v>3386834.63</v>
      </c>
      <c r="H10" s="102">
        <f>E10-F10</f>
        <v>7622716.4900000002</v>
      </c>
    </row>
    <row r="11" spans="2:8">
      <c r="B11" s="103" t="s">
        <v>457</v>
      </c>
      <c r="C11" s="104">
        <f>'F6b. EAEPE ADMVA'!C10</f>
        <v>10146314</v>
      </c>
      <c r="D11" s="104">
        <f>'F6b. EAEPE ADMVA'!D10</f>
        <v>863237.72</v>
      </c>
      <c r="E11" s="104">
        <f>C11+D11</f>
        <v>11009551.720000001</v>
      </c>
      <c r="F11" s="104">
        <f>'F6b. EAEPE ADMVA'!F10</f>
        <v>3386835.23</v>
      </c>
      <c r="G11" s="104">
        <f>'F6b. EAEPE ADMVA'!G10</f>
        <v>3386834.63</v>
      </c>
      <c r="H11" s="104">
        <f>E11-F11</f>
        <v>7622716.4900000002</v>
      </c>
    </row>
    <row r="12" spans="2:8">
      <c r="B12" s="103" t="s">
        <v>458</v>
      </c>
      <c r="C12" s="104"/>
      <c r="D12" s="104"/>
      <c r="E12" s="104"/>
      <c r="F12" s="105"/>
      <c r="G12" s="106"/>
      <c r="H12" s="105"/>
    </row>
    <row r="13" spans="2:8">
      <c r="B13" s="103" t="s">
        <v>459</v>
      </c>
      <c r="C13" s="104"/>
      <c r="D13" s="104"/>
      <c r="E13" s="104"/>
      <c r="F13" s="104"/>
      <c r="G13" s="106"/>
      <c r="H13" s="106"/>
    </row>
    <row r="14" spans="2:8">
      <c r="B14" s="107" t="s">
        <v>460</v>
      </c>
      <c r="C14" s="105"/>
      <c r="D14" s="105"/>
      <c r="E14" s="105"/>
      <c r="F14" s="105"/>
      <c r="G14" s="105"/>
      <c r="H14" s="105"/>
    </row>
    <row r="15" spans="2:8">
      <c r="B15" s="107" t="s">
        <v>461</v>
      </c>
      <c r="C15" s="104"/>
      <c r="D15" s="104"/>
      <c r="E15" s="104"/>
      <c r="F15" s="104"/>
      <c r="G15" s="106"/>
      <c r="H15" s="106"/>
    </row>
    <row r="16" spans="2:8">
      <c r="B16" s="103" t="s">
        <v>462</v>
      </c>
      <c r="C16" s="104"/>
      <c r="D16" s="104"/>
      <c r="E16" s="104"/>
      <c r="F16" s="104"/>
      <c r="G16" s="104"/>
      <c r="H16" s="104"/>
    </row>
    <row r="17" spans="2:8" ht="25.5">
      <c r="B17" s="103" t="s">
        <v>463</v>
      </c>
      <c r="C17" s="104"/>
      <c r="D17" s="104"/>
      <c r="E17" s="104"/>
      <c r="F17" s="104"/>
      <c r="G17" s="106"/>
      <c r="H17" s="106"/>
    </row>
    <row r="18" spans="2:8">
      <c r="B18" s="107" t="s">
        <v>464</v>
      </c>
      <c r="C18" s="104"/>
      <c r="D18" s="104"/>
      <c r="E18" s="104"/>
      <c r="F18" s="104"/>
      <c r="G18" s="106"/>
      <c r="H18" s="106"/>
    </row>
    <row r="19" spans="2:8">
      <c r="B19" s="107" t="s">
        <v>465</v>
      </c>
      <c r="C19" s="104"/>
      <c r="D19" s="104"/>
      <c r="E19" s="104"/>
      <c r="F19" s="104"/>
      <c r="G19" s="106"/>
      <c r="H19" s="106"/>
    </row>
    <row r="20" spans="2:8">
      <c r="B20" s="103" t="s">
        <v>466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9424514</v>
      </c>
      <c r="D22" s="109">
        <f t="shared" ref="D22:G22" si="1">D23+D24+D28+D29+D32</f>
        <v>68993.47</v>
      </c>
      <c r="E22" s="109">
        <f t="shared" si="1"/>
        <v>9493507.4700000007</v>
      </c>
      <c r="F22" s="109">
        <f t="shared" si="1"/>
        <v>2711740.96</v>
      </c>
      <c r="G22" s="109">
        <f t="shared" si="1"/>
        <v>2711740.96</v>
      </c>
      <c r="H22" s="109">
        <f>E22-F22</f>
        <v>6781766.5100000007</v>
      </c>
    </row>
    <row r="23" spans="2:8">
      <c r="B23" s="103" t="s">
        <v>457</v>
      </c>
      <c r="C23" s="104">
        <f>'F6b. EAEPE ADMVA'!C21</f>
        <v>9424514</v>
      </c>
      <c r="D23" s="104">
        <f>'F6b. EAEPE ADMVA'!D21</f>
        <v>68993.47</v>
      </c>
      <c r="E23" s="104">
        <f>C23+D23</f>
        <v>9493507.4700000007</v>
      </c>
      <c r="F23" s="104">
        <f>'F6b. EAEPE ADMVA'!F21</f>
        <v>2711740.96</v>
      </c>
      <c r="G23" s="104">
        <f>'F6b. EAEPE ADMVA'!G21</f>
        <v>2711740.96</v>
      </c>
      <c r="H23" s="104">
        <f>E23-F23</f>
        <v>6781766.5100000007</v>
      </c>
    </row>
    <row r="24" spans="2:8">
      <c r="B24" s="103" t="s">
        <v>458</v>
      </c>
      <c r="C24" s="104"/>
      <c r="D24" s="104"/>
      <c r="E24" s="104"/>
      <c r="F24" s="105"/>
      <c r="G24" s="106"/>
      <c r="H24" s="105"/>
    </row>
    <row r="25" spans="2:8">
      <c r="B25" s="103" t="s">
        <v>459</v>
      </c>
      <c r="C25" s="104"/>
      <c r="D25" s="104"/>
      <c r="E25" s="104"/>
      <c r="F25" s="104"/>
      <c r="G25" s="106"/>
      <c r="H25" s="106"/>
    </row>
    <row r="26" spans="2:8">
      <c r="B26" s="107" t="s">
        <v>460</v>
      </c>
      <c r="C26" s="104"/>
      <c r="D26" s="105"/>
      <c r="E26" s="111"/>
      <c r="F26" s="111"/>
      <c r="G26" s="106"/>
      <c r="H26" s="106"/>
    </row>
    <row r="27" spans="2:8">
      <c r="B27" s="107" t="s">
        <v>461</v>
      </c>
      <c r="C27" s="104"/>
      <c r="D27" s="104"/>
      <c r="E27" s="111"/>
      <c r="F27" s="111"/>
      <c r="G27" s="106"/>
      <c r="H27" s="106"/>
    </row>
    <row r="28" spans="2:8">
      <c r="B28" s="103" t="s">
        <v>462</v>
      </c>
      <c r="C28" s="104"/>
      <c r="D28" s="104"/>
      <c r="E28" s="104"/>
      <c r="F28" s="104"/>
      <c r="G28" s="104"/>
      <c r="H28" s="104"/>
    </row>
    <row r="29" spans="2:8" ht="25.5">
      <c r="B29" s="103" t="s">
        <v>467</v>
      </c>
      <c r="C29" s="104"/>
      <c r="D29" s="104"/>
      <c r="E29" s="104"/>
      <c r="F29" s="104"/>
      <c r="G29" s="106"/>
      <c r="H29" s="106"/>
    </row>
    <row r="30" spans="2:8">
      <c r="B30" s="112" t="s">
        <v>464</v>
      </c>
      <c r="C30" s="104"/>
      <c r="D30" s="104"/>
      <c r="E30" s="111"/>
      <c r="F30" s="111"/>
      <c r="G30" s="106"/>
      <c r="H30" s="106"/>
    </row>
    <row r="31" spans="2:8">
      <c r="B31" s="112" t="s">
        <v>465</v>
      </c>
      <c r="C31" s="104"/>
      <c r="D31" s="104"/>
      <c r="E31" s="111"/>
      <c r="F31" s="111"/>
      <c r="G31" s="106"/>
      <c r="H31" s="106"/>
    </row>
    <row r="32" spans="2:8">
      <c r="B32" s="103" t="s">
        <v>466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468</v>
      </c>
      <c r="C34" s="114">
        <f>C10+C22</f>
        <v>19570828</v>
      </c>
      <c r="D34" s="114">
        <f t="shared" ref="D34:F34" si="2">D10+D22</f>
        <v>932231.19</v>
      </c>
      <c r="E34" s="114">
        <f t="shared" si="2"/>
        <v>20503059.190000001</v>
      </c>
      <c r="F34" s="114">
        <f t="shared" si="2"/>
        <v>6098576.1899999995</v>
      </c>
      <c r="G34" s="114">
        <f>G10+G22</f>
        <v>6098575.5899999999</v>
      </c>
      <c r="H34" s="114">
        <f>H10+H22</f>
        <v>14404483</v>
      </c>
    </row>
    <row r="35" spans="2:8">
      <c r="G35" s="344">
        <f>F34-G34</f>
        <v>0.59999999962747097</v>
      </c>
    </row>
    <row r="36" spans="2:8" ht="15">
      <c r="B36" s="188" t="s">
        <v>517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516</v>
      </c>
    </row>
    <row r="39" spans="2:8">
      <c r="C39" s="344">
        <f>C36-C34</f>
        <v>-163604</v>
      </c>
      <c r="D39" s="344">
        <f t="shared" ref="D39:H39" si="3">D36-D34</f>
        <v>827642.7200000002</v>
      </c>
      <c r="E39" s="344">
        <f t="shared" si="3"/>
        <v>664038.71999999881</v>
      </c>
      <c r="F39" s="344">
        <f t="shared" si="3"/>
        <v>3521824.5299999993</v>
      </c>
      <c r="G39" s="344">
        <f t="shared" si="3"/>
        <v>3446383.8900000006</v>
      </c>
      <c r="H39" s="344">
        <f t="shared" si="3"/>
        <v>-2857785.8100000005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2021-02-11T19:17:58Z</cp:lastPrinted>
  <dcterms:created xsi:type="dcterms:W3CDTF">2017-05-03T19:21:22Z</dcterms:created>
  <dcterms:modified xsi:type="dcterms:W3CDTF">2021-07-13T19:47:09Z</dcterms:modified>
</cp:coreProperties>
</file>